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Unpaid Dividend_3rd Interim 202" sheetId="1" r:id="rId1"/>
  </sheets>
  <definedNames/>
  <calcPr fullCalcOnLoad="1"/>
</workbook>
</file>

<file path=xl/sharedStrings.xml><?xml version="1.0" encoding="utf-8"?>
<sst xmlns="http://schemas.openxmlformats.org/spreadsheetml/2006/main" count="14616" uniqueCount="12390">
  <si>
    <t>FLNO</t>
  </si>
  <si>
    <t>NAM1</t>
  </si>
  <si>
    <t>Add1</t>
  </si>
  <si>
    <t>Add2</t>
  </si>
  <si>
    <t>Add3</t>
  </si>
  <si>
    <t>City</t>
  </si>
  <si>
    <t>PIN</t>
  </si>
  <si>
    <t>NETDVD</t>
  </si>
  <si>
    <t>KOLKATA</t>
  </si>
  <si>
    <t>DWARKA NATH ACHARYA</t>
  </si>
  <si>
    <t>5 JAG BANDHU BORAL LANE</t>
  </si>
  <si>
    <t>CALCUTTA</t>
  </si>
  <si>
    <t>MOHALI</t>
  </si>
  <si>
    <t>SAROOP LAL KAPOOR</t>
  </si>
  <si>
    <t>HOUSE NO 1835</t>
  </si>
  <si>
    <t>PHASE NO 7 PART NO 4</t>
  </si>
  <si>
    <t>SAS NAGAR</t>
  </si>
  <si>
    <t>ANAND</t>
  </si>
  <si>
    <t>SUTHAR NISHITH V</t>
  </si>
  <si>
    <t>46 ARUNODAY SOC</t>
  </si>
  <si>
    <t>NR BAVIS GAM VIDYALAY VALLABH</t>
  </si>
  <si>
    <t>VIDYANAGAR</t>
  </si>
  <si>
    <t>AURANGABAD</t>
  </si>
  <si>
    <t>YOGESH RAJENDRA DESHMUKH</t>
  </si>
  <si>
    <t>4 HAYNES APRT</t>
  </si>
  <si>
    <t>GANDHI NAGAR BANSILAL</t>
  </si>
  <si>
    <t>NAGAR AREA</t>
  </si>
  <si>
    <t>JALNA</t>
  </si>
  <si>
    <t>BANGALORE</t>
  </si>
  <si>
    <t>GOPAL KRISHNA M S</t>
  </si>
  <si>
    <t>184 FLR GF BLDG OM KARNAGAR</t>
  </si>
  <si>
    <t>6 7 CRS</t>
  </si>
  <si>
    <t>ARAKERE BANGALORE</t>
  </si>
  <si>
    <t>COIMBATORE</t>
  </si>
  <si>
    <t>JOHNSON P JOSE</t>
  </si>
  <si>
    <t>SHANMUGAM COMPLEX</t>
  </si>
  <si>
    <t>1ST FLOOR MTP RD</t>
  </si>
  <si>
    <t>TRICHUR</t>
  </si>
  <si>
    <t>VINCENT PAUL A</t>
  </si>
  <si>
    <t>54,ARIMBOUR</t>
  </si>
  <si>
    <t>1 MANALUR GRAMA PANCHAYAT</t>
  </si>
  <si>
    <t>KANJANY P.O.</t>
  </si>
  <si>
    <t>THRISSUR</t>
  </si>
  <si>
    <t>SHAJU PANIKULAM</t>
  </si>
  <si>
    <t>PANIKULAM HOUSE</t>
  </si>
  <si>
    <t>PALAYALAMPARAMBU P. O.</t>
  </si>
  <si>
    <t>VYNTHALATRICHUR</t>
  </si>
  <si>
    <t>CHALAKUDY</t>
  </si>
  <si>
    <t>COCHIN</t>
  </si>
  <si>
    <t>BALU SOMAN</t>
  </si>
  <si>
    <t>696 A 48</t>
  </si>
  <si>
    <t>ELAMAKKARA</t>
  </si>
  <si>
    <t>KOCHI</t>
  </si>
  <si>
    <t>M G ROAD</t>
  </si>
  <si>
    <t>ERNAKULAM</t>
  </si>
  <si>
    <t>K E TYTES</t>
  </si>
  <si>
    <t>KALARIKAL HOUSE</t>
  </si>
  <si>
    <t>MULAVUKADERNAKULAM</t>
  </si>
  <si>
    <t>CHENNAI</t>
  </si>
  <si>
    <t>KOTTAYAM</t>
  </si>
  <si>
    <t>MONSY JOSEPH</t>
  </si>
  <si>
    <t>AMPATTU HOUSE</t>
  </si>
  <si>
    <t>AMPARANIRAPPEL</t>
  </si>
  <si>
    <t>PALAKOTTAYAM</t>
  </si>
  <si>
    <t>PALA</t>
  </si>
  <si>
    <t>SIMA GUPTA</t>
  </si>
  <si>
    <t>MARHATTA DITCH LANE</t>
  </si>
  <si>
    <t>NEERAJ JAIN [HUF]</t>
  </si>
  <si>
    <t>29/1, BANGUR AVENUE</t>
  </si>
  <si>
    <t>BLOCK-C</t>
  </si>
  <si>
    <t>NEW DELHI</t>
  </si>
  <si>
    <t>MAHESH RAWAT</t>
  </si>
  <si>
    <t>26 C DB BLOCK LIG FLATS HARI NAGAR</t>
  </si>
  <si>
    <t>G 8 AREA RAJOURI GARDEN</t>
  </si>
  <si>
    <t>NR HARI NAGAR CLOCK TOWERNEW DELHI DELHI</t>
  </si>
  <si>
    <t>GURGAON</t>
  </si>
  <si>
    <t>DELHI</t>
  </si>
  <si>
    <t>SHIVANI RAHEJA</t>
  </si>
  <si>
    <t>F 138 IST FLOOR</t>
  </si>
  <si>
    <t>ASHOK VIHAR</t>
  </si>
  <si>
    <t>PHASE 1</t>
  </si>
  <si>
    <t>ARVIND RISHI</t>
  </si>
  <si>
    <t>6 SUMERU IUAC</t>
  </si>
  <si>
    <t>ARUNA ASAF ALI MARG</t>
  </si>
  <si>
    <t>NEW DELHIDELHI</t>
  </si>
  <si>
    <t>NORTH WEST DELHI</t>
  </si>
  <si>
    <t>MOHINDER SINGH GAUR</t>
  </si>
  <si>
    <t>H NO D 3/72 D BLOCK POCKET 3</t>
  </si>
  <si>
    <t>SECTOR 16</t>
  </si>
  <si>
    <t>ROHINIDELHI</t>
  </si>
  <si>
    <t>BOD RAJ DHAKAL</t>
  </si>
  <si>
    <t>J 67 68</t>
  </si>
  <si>
    <t>STREET NO 4 D BLOCK</t>
  </si>
  <si>
    <t>LAXMI NAGAR EAST</t>
  </si>
  <si>
    <t>KAUSHAL KUMAR</t>
  </si>
  <si>
    <t>D 358 D BLOCK GANESH NAGAR</t>
  </si>
  <si>
    <t>PANDAV NAGAR COMPLEX</t>
  </si>
  <si>
    <t>IIND FLOORNEW DELHI</t>
  </si>
  <si>
    <t>S TOMER</t>
  </si>
  <si>
    <t>E 5/83 RAJIV GALI DAYAL PUR</t>
  </si>
  <si>
    <t>RAJEEV SHARMA</t>
  </si>
  <si>
    <t>21 BLOCK-C EXTN</t>
  </si>
  <si>
    <t>NEW ASHOK NAGAR DELHI</t>
  </si>
  <si>
    <t>NEAR JHADA CHOWK</t>
  </si>
  <si>
    <t>HISSAR</t>
  </si>
  <si>
    <t>DHEERAJ .</t>
  </si>
  <si>
    <t>H NO 367C 8 DHANNI GHATI</t>
  </si>
  <si>
    <t>MOHALLA HANSI HISARHANSI</t>
  </si>
  <si>
    <t>HISAR</t>
  </si>
  <si>
    <t>NEAR BUS STAND</t>
  </si>
  <si>
    <t>PANCHKULA</t>
  </si>
  <si>
    <t>SHASHI CHAUHAN</t>
  </si>
  <si>
    <t>272 SECTOR 12-A PANCHKULA</t>
  </si>
  <si>
    <t>PANCHKULA SECTOR-12</t>
  </si>
  <si>
    <t>SECTOR-12A</t>
  </si>
  <si>
    <t>AMRITSAR</t>
  </si>
  <si>
    <t>INDER MOHAN BHATIA</t>
  </si>
  <si>
    <t>916 A HIG FLAT HOUSING BOARD</t>
  </si>
  <si>
    <t>COLONY C BLOCK RANJIT</t>
  </si>
  <si>
    <t>AVENUE AMRITSAR 1AMRITSAR PUNJAB</t>
  </si>
  <si>
    <t>RISHU GARG</t>
  </si>
  <si>
    <t>H NO 22034</t>
  </si>
  <si>
    <t>POWER HOUSE ROAD</t>
  </si>
  <si>
    <t>BATHINDAPUNJAB</t>
  </si>
  <si>
    <t>GHAZIABAD</t>
  </si>
  <si>
    <t>PRAVEEN KUMAR GAUR</t>
  </si>
  <si>
    <t>H.NO. R-6/78</t>
  </si>
  <si>
    <t>RAJNAGAR</t>
  </si>
  <si>
    <t>GHAZIABADUTTAR PRADESH</t>
  </si>
  <si>
    <t>UTTAR PRADESH</t>
  </si>
  <si>
    <t>LUCKNOW</t>
  </si>
  <si>
    <t>PAWAN TANAY SAHU</t>
  </si>
  <si>
    <t>H NO 589 188</t>
  </si>
  <si>
    <t>JAIL ROAD SAIEH NAGAR</t>
  </si>
  <si>
    <t>MORADABAD</t>
  </si>
  <si>
    <t>FATIMA BILAL</t>
  </si>
  <si>
    <t>D/O BILAL AHSAN THE TAJ STORE</t>
  </si>
  <si>
    <t>BHATTI STREET</t>
  </si>
  <si>
    <t>RAJ KUMAR</t>
  </si>
  <si>
    <t>ATARAPURA 2</t>
  </si>
  <si>
    <t>HAPUR</t>
  </si>
  <si>
    <t>GORAKHPUR</t>
  </si>
  <si>
    <t>MISTY ROY .</t>
  </si>
  <si>
    <t>D/O SAMEER KUMAR ROY,302/C,</t>
  </si>
  <si>
    <t>RAILWAY DAIRY COLONY,GORAKHPUR</t>
  </si>
  <si>
    <t>AZAMGARH</t>
  </si>
  <si>
    <t>PANKAJ KUMAR PANDEY</t>
  </si>
  <si>
    <t>Gr Bagbahar</t>
  </si>
  <si>
    <t>Po Kohda</t>
  </si>
  <si>
    <t>Azamgarh</t>
  </si>
  <si>
    <t>BHILWARA</t>
  </si>
  <si>
    <t>PRADEEP KUMAR PANDA</t>
  </si>
  <si>
    <t>9 RAJDEEP MADHUVAN COLONY</t>
  </si>
  <si>
    <t>JAVA RUBBER GALI KANKROLI</t>
  </si>
  <si>
    <t>RAJSAMAND</t>
  </si>
  <si>
    <t>KOTA</t>
  </si>
  <si>
    <t>ANISH MAHESHWARI</t>
  </si>
  <si>
    <t>RAGHUBUL</t>
  </si>
  <si>
    <t>17 PRATAP NAGAR</t>
  </si>
  <si>
    <t>DADABARI</t>
  </si>
  <si>
    <t>BHAVNAGAR</t>
  </si>
  <si>
    <t>JENTIBHAI MAGANBHAI GOLANIYA</t>
  </si>
  <si>
    <t>PLOT 20/A ANJNASHVER PARK</t>
  </si>
  <si>
    <t>CHARBHAI BIDI GALI</t>
  </si>
  <si>
    <t>TILAKNAGAR</t>
  </si>
  <si>
    <t>MAULIKKUMAR RAMESHBHAI PATEL</t>
  </si>
  <si>
    <t>GANESHPARU KAHODA KAHODA MAHESANA</t>
  </si>
  <si>
    <t>MAHESANA GUJARAT</t>
  </si>
  <si>
    <t>AMITKUMAR BHUPENDRAKUMAR PATEL</t>
  </si>
  <si>
    <t>ANPURNA SOCIETY NEAR ANAND</t>
  </si>
  <si>
    <t>CHOKDI BORSAD DIST ANAND</t>
  </si>
  <si>
    <t>BORSAD</t>
  </si>
  <si>
    <t>VALSAD</t>
  </si>
  <si>
    <t>TAPAS DHIREN DE</t>
  </si>
  <si>
    <t>GIDC VAPI CENTRE POINT OPP</t>
  </si>
  <si>
    <t>TELEPHONE EXCHANGE</t>
  </si>
  <si>
    <t>I E PARDI VALSAD</t>
  </si>
  <si>
    <t>VAPI</t>
  </si>
  <si>
    <t>MUMBAI</t>
  </si>
  <si>
    <t>NISAR YUNUS RAKHANGI</t>
  </si>
  <si>
    <t>MADINA MANZIL</t>
  </si>
  <si>
    <t>1ST FLOOR ROOM NO 30</t>
  </si>
  <si>
    <t>DR AMBEDKAR ROAD PARELMUMBAI</t>
  </si>
  <si>
    <t>CHHOTU GANDHI</t>
  </si>
  <si>
    <t>BALLALESHWAR SOCIETY</t>
  </si>
  <si>
    <t>VRUNDAVAN BLDG NO 1 B WING FLAT NO 8</t>
  </si>
  <si>
    <t>YOGIC AROGYA KENDRAMUMBAI</t>
  </si>
  <si>
    <t>IRENE PONTES</t>
  </si>
  <si>
    <t>701 CASAMARIA</t>
  </si>
  <si>
    <t>185 DEMONTE PARK ROAD BANDRA W</t>
  </si>
  <si>
    <t>BEHIND CANDYS RESTAURANTSMUMBAI</t>
  </si>
  <si>
    <t>SMITA SINGH</t>
  </si>
  <si>
    <t>302 MAGIC CARPET</t>
  </si>
  <si>
    <t>JUHU VERSOVA LINK ROAD</t>
  </si>
  <si>
    <t>ANDHERI WESTMUMBAI</t>
  </si>
  <si>
    <t>RAMESH KUMAR YADAV</t>
  </si>
  <si>
    <t>NEW IT TRADE GLOBE</t>
  </si>
  <si>
    <t>GROAUND FLOOR ANDHERI KURLA RD</t>
  </si>
  <si>
    <t>ANDHERI (EAST)MUMBAI</t>
  </si>
  <si>
    <t>SUNIL MANOHAR KHANOLKAR</t>
  </si>
  <si>
    <t>15 B OM SIDDHARAJ CHS LTD</t>
  </si>
  <si>
    <t>KAJU PADA HILLS</t>
  </si>
  <si>
    <t>BORIVALI EAST</t>
  </si>
  <si>
    <t>SARITA GOPAL GAVANDE</t>
  </si>
  <si>
    <t>4/257, TATA POWER HOUSE MHB CO</t>
  </si>
  <si>
    <t>MAGATHANE ROAD BORIWALI EAST</t>
  </si>
  <si>
    <t>BORIVALI EAST MUMBAI</t>
  </si>
  <si>
    <t>PRANALI CHANDRAKANT REWDEKAR</t>
  </si>
  <si>
    <t>3 BANARSI DEVI 2 UTKARSH NAGAR</t>
  </si>
  <si>
    <t>TEMBI PADA BHANDUP W</t>
  </si>
  <si>
    <t>YADENDER KUMAR PULAGURLA</t>
  </si>
  <si>
    <t>CAPGEMINI INDIA PVT LTD</t>
  </si>
  <si>
    <t>SEP 2 B 3 GODREJ INDUS COMPLEX</t>
  </si>
  <si>
    <t>EASTERN EXP HIGHWAY VIKHROLI E</t>
  </si>
  <si>
    <t>SHRUTI PRABHUDUTT UPADHYAY</t>
  </si>
  <si>
    <t>NEAR SHAMVIK GLASS FACTORY</t>
  </si>
  <si>
    <t>GHATI PADA B4303 LOK NISARG</t>
  </si>
  <si>
    <t>BR ROAD MULUND WEST SO</t>
  </si>
  <si>
    <t>SAGAR VASANT HEGDE</t>
  </si>
  <si>
    <t>485/2A/3 PRAPTI SOCIETY</t>
  </si>
  <si>
    <t>PRANAM NAGAR 2</t>
  </si>
  <si>
    <t>CHIKOOWADI BORIVALI WMUMBAI MAHARASHTRA</t>
  </si>
  <si>
    <t>THANE</t>
  </si>
  <si>
    <t>VIKASH ARORA</t>
  </si>
  <si>
    <t>4/5 SIDDHI VINAYAK INDUSTRIAL</t>
  </si>
  <si>
    <t>ESTATE WALI V</t>
  </si>
  <si>
    <t>VASAI EASTDIST THANE</t>
  </si>
  <si>
    <t>MOHAN D PANSARE</t>
  </si>
  <si>
    <t>A/201 BALAJI AANGAN</t>
  </si>
  <si>
    <t>SEC 3</t>
  </si>
  <si>
    <t>KHARGHAR BALAJI AANGANNAVI MUMBAI MAHARASHTRA</t>
  </si>
  <si>
    <t>PUNE</t>
  </si>
  <si>
    <t>RAHUL KHUSHAL CHAND BORA</t>
  </si>
  <si>
    <t>RAHUL K BORA O 17 KONARK</t>
  </si>
  <si>
    <t>CAMPUS VIMAN NAGAR</t>
  </si>
  <si>
    <t>TARWATE BHUSHAN DHANAJI .</t>
  </si>
  <si>
    <t>396 MULA NAGAR SANGAVI</t>
  </si>
  <si>
    <t>HAVELI VILLAGE TALUKA HAVELI</t>
  </si>
  <si>
    <t>DIST PUNE</t>
  </si>
  <si>
    <t>BHAVESH RASIKLAL VYAS</t>
  </si>
  <si>
    <t>SHRINIWAS CO - OP HSG SOC</t>
  </si>
  <si>
    <t>PHASE II , MAHATMA SOCIETY</t>
  </si>
  <si>
    <t>KOTHRUDPUNE , MAHARASHTRA</t>
  </si>
  <si>
    <t>MAHADEO LAXMAN KAMBLE</t>
  </si>
  <si>
    <t>F NO A4 4 SECT B SHREENAGAR</t>
  </si>
  <si>
    <t>IS NO 24 A NR APPU GHAR NIGDI</t>
  </si>
  <si>
    <t>DEVIDAS CHUHARMAL CHUGH HUF</t>
  </si>
  <si>
    <t>BRK NO. 1570, ROOM NO-1,</t>
  </si>
  <si>
    <t>SECTION-27 ULHAS 4</t>
  </si>
  <si>
    <t>JALGAON</t>
  </si>
  <si>
    <t>PRAKASH YASHVANT TADE</t>
  </si>
  <si>
    <t>2A19 KACHERI ROAD</t>
  </si>
  <si>
    <t>SONAL CHAL KACHERI ROAD</t>
  </si>
  <si>
    <t>Amalner</t>
  </si>
  <si>
    <t>SHELAKE VINOD AMBADAS</t>
  </si>
  <si>
    <t>MU SONAGIRI POST WARUD BK</t>
  </si>
  <si>
    <t>NEAR HUNUMAN MANDIR JAFRABAD</t>
  </si>
  <si>
    <t>SONGIRI JALNA</t>
  </si>
  <si>
    <t>PARBHANI</t>
  </si>
  <si>
    <t>SAMADHAN TRYAMBAK SIRASKAR</t>
  </si>
  <si>
    <t>PALAM PALAM PALAM PARBHANI</t>
  </si>
  <si>
    <t>NAGPUR</t>
  </si>
  <si>
    <t>TUNISHA ADIL BHAMGARA</t>
  </si>
  <si>
    <t>MISSION BUNGLOW KAMTHEE ROAD</t>
  </si>
  <si>
    <t>NEXT TO DR SHORI DENTAL CLINIC</t>
  </si>
  <si>
    <t>KAMTHEE ROAD NAGPUR URBAN NAGP</t>
  </si>
  <si>
    <t>UJJAIN</t>
  </si>
  <si>
    <t>RAJESH SIKARWAR</t>
  </si>
  <si>
    <t>C 41/20 RISHI NAGAR EXT</t>
  </si>
  <si>
    <t>MADHYA PRADESH</t>
  </si>
  <si>
    <t>REWA</t>
  </si>
  <si>
    <t>RAM NIHORE TRIPATHI</t>
  </si>
  <si>
    <t>C/O RAVENDRAKUMAR TRIPATHI</t>
  </si>
  <si>
    <t>ANAND NAGAR BODABAG COLONY</t>
  </si>
  <si>
    <t>NEAR RAURA HOUSE REWAREWA</t>
  </si>
  <si>
    <t>DURG</t>
  </si>
  <si>
    <t>ARVIND KUMAR GUPTA</t>
  </si>
  <si>
    <t>14 B STREET 11 SECTOR 1</t>
  </si>
  <si>
    <t>BHILAI DURG</t>
  </si>
  <si>
    <t>CHHATTISGARH</t>
  </si>
  <si>
    <t>BHILAI</t>
  </si>
  <si>
    <t>HYDERABAD</t>
  </si>
  <si>
    <t>Raju Adi</t>
  </si>
  <si>
    <t>H NO 8 3 117 SECOND STREET</t>
  </si>
  <si>
    <t>NR RAILWAY STATION</t>
  </si>
  <si>
    <t>SECUNDERABAD</t>
  </si>
  <si>
    <t>C TEJASWAROOP</t>
  </si>
  <si>
    <t>NO 4/84 MADHAVI NAGAR</t>
  </si>
  <si>
    <t>VBK REDDY COMPLEX</t>
  </si>
  <si>
    <t>BOWENPALLY FEROZEGUDASUCUNDERABAD</t>
  </si>
  <si>
    <t>LAKSHMI SANAKA</t>
  </si>
  <si>
    <t>1 7 139/12 SRK NAGAR</t>
  </si>
  <si>
    <t>RISALA GADDA</t>
  </si>
  <si>
    <t>MUSHEERABADHYDERABAD TELANGANA</t>
  </si>
  <si>
    <t>PREM KUMAR NAMANI</t>
  </si>
  <si>
    <t>H NO 11-13-915</t>
  </si>
  <si>
    <t>DOOR NO 1 GREENHILLS COLONY</t>
  </si>
  <si>
    <t>KOTHAPET</t>
  </si>
  <si>
    <t>VIGNESH RAJARAM</t>
  </si>
  <si>
    <t>CO S RAJARAM 1847812221</t>
  </si>
  <si>
    <t>RAJANNA BOWLI FALAKNUMA</t>
  </si>
  <si>
    <t>CHARMINAR HYDERABAD</t>
  </si>
  <si>
    <t>NIZAMABAD</t>
  </si>
  <si>
    <t>NARAYANA RAO BISANI</t>
  </si>
  <si>
    <t>C/O DR PRAKASH HOUSE</t>
  </si>
  <si>
    <t>5-6-581</t>
  </si>
  <si>
    <t>PRAGATHI NAGARNIZAMABAD</t>
  </si>
  <si>
    <t>HYDERABAD ROAD</t>
  </si>
  <si>
    <t>ADILABAD</t>
  </si>
  <si>
    <t>RAMASWAMY BHEEMANI</t>
  </si>
  <si>
    <t>H.NO.7-329, K.K.HUTS, K.K.HUTS</t>
  </si>
  <si>
    <t>TEEGALPA HADITEEGAL PAHAD</t>
  </si>
  <si>
    <t>MANCHERIAL ADILABAD</t>
  </si>
  <si>
    <t>MANCHERIAL</t>
  </si>
  <si>
    <t>KARIMNAGAR</t>
  </si>
  <si>
    <t>AKHIL VOLLALA</t>
  </si>
  <si>
    <t>7 81 INDIRAMARG HUZURABAD</t>
  </si>
  <si>
    <t>KARIMNAGAR TELANGANA</t>
  </si>
  <si>
    <t>RAVI SURI</t>
  </si>
  <si>
    <t>WHITE FIELD MOTORS PVT LTD</t>
  </si>
  <si>
    <t>116 B NARAYANAPURA</t>
  </si>
  <si>
    <t>WHITE FIELD ROADBANGALORE</t>
  </si>
  <si>
    <t>BHAVESH KUMAR M</t>
  </si>
  <si>
    <t>NO 18 N S IYENGAR STREET 3RD</t>
  </si>
  <si>
    <t>CROSS SESHADRIPURAM BANGALORE</t>
  </si>
  <si>
    <t>OM SHIVA DSBANGALORE KARNATAKA</t>
  </si>
  <si>
    <t>KARNATAKA</t>
  </si>
  <si>
    <t>GAGAN SANJAY SAVKOOR</t>
  </si>
  <si>
    <t>MC NO 101 GOLDEN GRAND APARTMENTS</t>
  </si>
  <si>
    <t>OPP TO APMC YARD YESMANTHAPUR</t>
  </si>
  <si>
    <t>BANGALORE KARNATAKA</t>
  </si>
  <si>
    <t>M C MATHEW .</t>
  </si>
  <si>
    <t>NO 364 GRND FLR</t>
  </si>
  <si>
    <t>4 SQUARE</t>
  </si>
  <si>
    <t>AUSTIN TOWN</t>
  </si>
  <si>
    <t>SATHISH KUMAR BEERANNANAVAR TIPPESHAPPA</t>
  </si>
  <si>
    <t>80 1ST FLOOR EAST END</t>
  </si>
  <si>
    <t>D MAIN ROAD JAYANAGAR</t>
  </si>
  <si>
    <t>9TH BLOCK</t>
  </si>
  <si>
    <t>MUGUNDHAN GOUTHAM VASUDEV</t>
  </si>
  <si>
    <t>FLAT NO B1 002 LAND T SOUTH CITY</t>
  </si>
  <si>
    <t>AREKERE MICO LAYOUT OFF</t>
  </si>
  <si>
    <t>BANNERGHATTA ROADBANGALORE</t>
  </si>
  <si>
    <t>SUNAGENDRA VIJAYAKUMAR</t>
  </si>
  <si>
    <t>NO 370</t>
  </si>
  <si>
    <t>6TH MAIN ROAD</t>
  </si>
  <si>
    <t>ISRO LAYOUT</t>
  </si>
  <si>
    <t>BENGALURU</t>
  </si>
  <si>
    <t>SHIMOGA</t>
  </si>
  <si>
    <t>BHADRAVATHI MADHUSUDHAN SANTHOSH</t>
  </si>
  <si>
    <t>#1452, subhasnagara 3rd cross, a v s collage road subha</t>
  </si>
  <si>
    <t>BHADRAVATHI</t>
  </si>
  <si>
    <t>KARWAR</t>
  </si>
  <si>
    <t>AJIT ANANDA HEGDE</t>
  </si>
  <si>
    <t># ISLOOR BAPPANALLI SIRSI</t>
  </si>
  <si>
    <t>BAPPANALLI SIRSI BOPPANALLI</t>
  </si>
  <si>
    <t>UTTARA KANNADA</t>
  </si>
  <si>
    <t>BELGAUM</t>
  </si>
  <si>
    <t>SAGAR DAYANAND MATHAPATI</t>
  </si>
  <si>
    <t>NO 587 A NAVI PETH NEAR</t>
  </si>
  <si>
    <t>SHIVMURTESHWAR MATH</t>
  </si>
  <si>
    <t>NAVI PETH RAMDURG</t>
  </si>
  <si>
    <t>SHANKAR DEVARAJAN</t>
  </si>
  <si>
    <t>15/9 FLAT 2A ARULAGHAM APARTMENTS</t>
  </si>
  <si>
    <t>BISHOPWALLERS AVENUE EAST</t>
  </si>
  <si>
    <t>CIT COLONY MYLAPORECHENNAI</t>
  </si>
  <si>
    <t>T NAGAR</t>
  </si>
  <si>
    <t>G RAMAKRISHNAIAH</t>
  </si>
  <si>
    <t>29 RAM NAGAR 5TH STREET</t>
  </si>
  <si>
    <t>TRIPLICANE</t>
  </si>
  <si>
    <t>CHENNAITAMILNADU</t>
  </si>
  <si>
    <t>NO 40</t>
  </si>
  <si>
    <t>ULLATTIL BHARAT RAJ</t>
  </si>
  <si>
    <t>F 3 SHIREEN NO 2 KARPAGAM AVENUE</t>
  </si>
  <si>
    <t>MAIN ROAD</t>
  </si>
  <si>
    <t>OPP ICICI TOWERSCHENNAI</t>
  </si>
  <si>
    <t>A CLEMENT RANJITH</t>
  </si>
  <si>
    <t>3A SARANGA AVENUE</t>
  </si>
  <si>
    <t>GANDHI NAGAR OLD</t>
  </si>
  <si>
    <t>PERUNGALATHUR</t>
  </si>
  <si>
    <t>KANCHEEPURAM</t>
  </si>
  <si>
    <t>BALAJIMUTHU</t>
  </si>
  <si>
    <t>NO 1 SECOND STREET KUMARAN NAGAR KAM</t>
  </si>
  <si>
    <t>ARAJ NAGAR TIRUVALLUR NEAR NAZENTH M</t>
  </si>
  <si>
    <t>ATRIC SCHOOLTIRUVALLUR TAMIL NADU</t>
  </si>
  <si>
    <t>BALAJI PERUMAL</t>
  </si>
  <si>
    <t>228 THILAGAR NAGAR D BLOCK</t>
  </si>
  <si>
    <t>TONDIARPET</t>
  </si>
  <si>
    <t>PRABHAKARAN</t>
  </si>
  <si>
    <t>NO 28/7</t>
  </si>
  <si>
    <t>MANALIPUTHUNAGAR</t>
  </si>
  <si>
    <t>BLOCK 18 WARD 4 EDAIYAJSAVADITHIRUVALLUR, TAMILNADU</t>
  </si>
  <si>
    <t>A JOSEPHINE</t>
  </si>
  <si>
    <t>O.NO.207 N.NO 380/</t>
  </si>
  <si>
    <t>MUTHAIAH NAGAR</t>
  </si>
  <si>
    <t>C.KOTHANGKODI, CHIDAMBARAMTAMILNADU</t>
  </si>
  <si>
    <t>TIRUCHIRAPPALLI</t>
  </si>
  <si>
    <t>P RAJAN</t>
  </si>
  <si>
    <t>A4 / 027</t>
  </si>
  <si>
    <t>BHEL TOWNSHIP</t>
  </si>
  <si>
    <t>KAILASAPURAMTRICHY</t>
  </si>
  <si>
    <t>TRICHY</t>
  </si>
  <si>
    <t>MADURAI</t>
  </si>
  <si>
    <t>KARTHIKEYAN V</t>
  </si>
  <si>
    <t>OLD NO 96 NEW NO 96,</t>
  </si>
  <si>
    <t>POSTAL AND TELEGRAM NAGAR.</t>
  </si>
  <si>
    <t>1ST STREET,MADURAI,TAMILNADU</t>
  </si>
  <si>
    <t>S LAVANYA .</t>
  </si>
  <si>
    <t>340, KUPPATTU MOTUR ROAD</t>
  </si>
  <si>
    <t>BAGAVALI WALAJA TALUK</t>
  </si>
  <si>
    <t>.</t>
  </si>
  <si>
    <t>VELLORE</t>
  </si>
  <si>
    <t>SALEM</t>
  </si>
  <si>
    <t>N TAMILSELVAN</t>
  </si>
  <si>
    <t>NO : 6/48</t>
  </si>
  <si>
    <t>CHINNAKALANGANI</t>
  </si>
  <si>
    <t>KALANGANI</t>
  </si>
  <si>
    <t>NAMAKKAL</t>
  </si>
  <si>
    <t>RAMASAMY MUTHUSAMY</t>
  </si>
  <si>
    <t>38 RAJAGANAPATHI NAGAR</t>
  </si>
  <si>
    <t>VAIRAPALAYAM</t>
  </si>
  <si>
    <t>ERODE TAMIL NADU</t>
  </si>
  <si>
    <t>ERODE</t>
  </si>
  <si>
    <t>VELUSAMY KARTHIK KANNAN</t>
  </si>
  <si>
    <t>26ANNA STREETERIPPALAYAM</t>
  </si>
  <si>
    <t>UDUMALAIPETTAI,TIRUPPUR,26ANNA STREETERIPPALAYAM,</t>
  </si>
  <si>
    <t>26ANNA STREETERIPPALAYAM,</t>
  </si>
  <si>
    <t>TIRUPPUR</t>
  </si>
  <si>
    <t>VINOD KUMAR .</t>
  </si>
  <si>
    <t>AMBAPURAM HOUSE</t>
  </si>
  <si>
    <t>BARA P O</t>
  </si>
  <si>
    <t>KASARAGOD</t>
  </si>
  <si>
    <t>KANHANGAD</t>
  </si>
  <si>
    <t>ABDUL KHADER M</t>
  </si>
  <si>
    <t>M K COTTAGE</t>
  </si>
  <si>
    <t>MUTTAMKUNNIL</t>
  </si>
  <si>
    <t>POST SHIRIYAKASARGOD</t>
  </si>
  <si>
    <t>1ST FLOOR</t>
  </si>
  <si>
    <t>CALICUT</t>
  </si>
  <si>
    <t>LAIJU MUDUVANA</t>
  </si>
  <si>
    <t>SREESHAILAM HOUSE</t>
  </si>
  <si>
    <t>VALLIYELPARAMBU POST</t>
  </si>
  <si>
    <t>KOTTEMPARAMBU KOZHIKODE KERALAINDIA</t>
  </si>
  <si>
    <t>KOZHIKODE</t>
  </si>
  <si>
    <t>SULAVANI WARRIER</t>
  </si>
  <si>
    <t>PULPATTAWARRIATH</t>
  </si>
  <si>
    <t>PURATHURTIRUR</t>
  </si>
  <si>
    <t>MALAPPURAM</t>
  </si>
  <si>
    <t>KERALA</t>
  </si>
  <si>
    <t>DEEPA M</t>
  </si>
  <si>
    <t>MATTAYI HOUSE</t>
  </si>
  <si>
    <t>NEAR TOWN HALL</t>
  </si>
  <si>
    <t>TRIKANDIYOOR, TIRURMALAPPURAM, KERALA</t>
  </si>
  <si>
    <t>RAJESH K V</t>
  </si>
  <si>
    <t>KILIYANVALAPPIL HOUSE</t>
  </si>
  <si>
    <t>PO KUNNAPPALLY</t>
  </si>
  <si>
    <t>PERINTHALMANNA VIAMALAPPURAM</t>
  </si>
  <si>
    <t>PERINTHALMANNA</t>
  </si>
  <si>
    <t>PALGHAT</t>
  </si>
  <si>
    <t>PRAKASH P A</t>
  </si>
  <si>
    <t>ARJUN NIVAS</t>
  </si>
  <si>
    <t>KAVALAPPARA PO</t>
  </si>
  <si>
    <t>PALAKKAD</t>
  </si>
  <si>
    <t>BAIJU M S</t>
  </si>
  <si>
    <t>MADATHI PARAMBIL HOUSE</t>
  </si>
  <si>
    <t>CHEROOR POST</t>
  </si>
  <si>
    <t>NANDANAN K A</t>
  </si>
  <si>
    <t>KATTUNGAL HOUSE,</t>
  </si>
  <si>
    <t>PUTHUKARA</t>
  </si>
  <si>
    <t>TRISSUR</t>
  </si>
  <si>
    <t>PATHANAMTHITTA</t>
  </si>
  <si>
    <t>SAJI C A</t>
  </si>
  <si>
    <t>CHRAYATH HOUSE</t>
  </si>
  <si>
    <t>KUTTANALLOOR P O</t>
  </si>
  <si>
    <t>TRICHURKERALA</t>
  </si>
  <si>
    <t>LISHA K V</t>
  </si>
  <si>
    <t>42/46 KOTTIYATTIL 3</t>
  </si>
  <si>
    <t>NEDUPUZHA PO</t>
  </si>
  <si>
    <t>KOORKENCHERY PANCHAYATTHRISSUR</t>
  </si>
  <si>
    <t>C D DIVAKARAN</t>
  </si>
  <si>
    <t>CHERODAN HOUSE</t>
  </si>
  <si>
    <t>PANTHALLOOR</t>
  </si>
  <si>
    <t>NELLAYI PO</t>
  </si>
  <si>
    <t>KUNHAMMED MUSALIAR MOHAMMEDALI</t>
  </si>
  <si>
    <t>JEROSAM</t>
  </si>
  <si>
    <t>SOUTH ROAD</t>
  </si>
  <si>
    <t>CHAVAKKAD POTRICHUR</t>
  </si>
  <si>
    <t>GURUVAYOOR</t>
  </si>
  <si>
    <t>CISSY GEORGE</t>
  </si>
  <si>
    <t>MEKKATTUKULAM HOUSE</t>
  </si>
  <si>
    <t>MERIDALE MUNDUR ANJUR PO</t>
  </si>
  <si>
    <t>E VR SHANMUGHAN</t>
  </si>
  <si>
    <t>272 ERANEZHATH VADAKOOTTAYIL</t>
  </si>
  <si>
    <t>1 NATTIKA GRAMA PANCHAYAT</t>
  </si>
  <si>
    <t>CHAVAKKAD</t>
  </si>
  <si>
    <t>TALIKULAM</t>
  </si>
  <si>
    <t>JAYAPRAKASH V C</t>
  </si>
  <si>
    <t>VAZHAPPILLY HOUSE</t>
  </si>
  <si>
    <t>KARAYAMUTTAM</t>
  </si>
  <si>
    <t>VALAPAD</t>
  </si>
  <si>
    <t>PRAJITH K P</t>
  </si>
  <si>
    <t>KARAYIL HOUSE,</t>
  </si>
  <si>
    <t>P.O KAZHIMBRAM.</t>
  </si>
  <si>
    <t>P P VISWANATHAN</t>
  </si>
  <si>
    <t>XIII32 PADINJAREPURAKKAL HOUSE</t>
  </si>
  <si>
    <t>PO KAZHIMBRAM</t>
  </si>
  <si>
    <t>VANAJA</t>
  </si>
  <si>
    <t>4/527 VALLATH TALIKULAM GRAMA</t>
  </si>
  <si>
    <t>PANCHAYAT THRISSUR</t>
  </si>
  <si>
    <t>KERALAINDIA</t>
  </si>
  <si>
    <t>JINTO C P</t>
  </si>
  <si>
    <t>558, CHIRIYANKANDATH</t>
  </si>
  <si>
    <t>9, VATANAPALLY</t>
  </si>
  <si>
    <t>VATANAPALLY PANCHAYATTHRISSUR</t>
  </si>
  <si>
    <t>C V SADANANDAN</t>
  </si>
  <si>
    <t>CHULLIPARAMBIL HOUSE</t>
  </si>
  <si>
    <t>ERAVU</t>
  </si>
  <si>
    <t>V A XAVIER</t>
  </si>
  <si>
    <t>VADAKKAN HOUSE</t>
  </si>
  <si>
    <t>PANAGATTUKARA WADKANCHERY</t>
  </si>
  <si>
    <t>THRISSUR DT NEAR AKG NAGAR MANGALAMTHRISSUR KERALA</t>
  </si>
  <si>
    <t>VADAKKAN HOUSE PANAGATTUKARA</t>
  </si>
  <si>
    <t>P O WADAKANCHERY VIA</t>
  </si>
  <si>
    <t>AMBIKA GOPALAKRISHNAN</t>
  </si>
  <si>
    <t>KURUPATHUKATTIL HOUSE</t>
  </si>
  <si>
    <t>KOTTANELLOOR</t>
  </si>
  <si>
    <t>KOTTANELLOORTHRISSUR</t>
  </si>
  <si>
    <t>VINOD E D</t>
  </si>
  <si>
    <t>ESWARAMANGALATH HOUSE</t>
  </si>
  <si>
    <t>LOKAMALESWARAM</t>
  </si>
  <si>
    <t>KODUNGALLUR</t>
  </si>
  <si>
    <t>SANDEEP .</t>
  </si>
  <si>
    <t>Mullezhathu House, Kottappuram P O Kottappuram P O</t>
  </si>
  <si>
    <t>VINCY JOHN ELENJIKKAL</t>
  </si>
  <si>
    <t>ELENJIKKAL HOUSE</t>
  </si>
  <si>
    <t>KARA</t>
  </si>
  <si>
    <t>THAKADIYIL JOSEPH JOSEPH</t>
  </si>
  <si>
    <t>109, THAKADIYIL</t>
  </si>
  <si>
    <t>KODKARA GRAMA PANCHAYAT</t>
  </si>
  <si>
    <t>TRICHUR, KERALA</t>
  </si>
  <si>
    <t>JOSY JIBU</t>
  </si>
  <si>
    <t>PALATHINGAL (H)</t>
  </si>
  <si>
    <t>THAZHEKAD P O</t>
  </si>
  <si>
    <t>KOMBODINJAMAKKALTRICHUR</t>
  </si>
  <si>
    <t>EARRATTU IKKALAN RAMAKRISHNAN</t>
  </si>
  <si>
    <t>EARRATTU HOUSE</t>
  </si>
  <si>
    <t>IX/536 KATTOOR P O</t>
  </si>
  <si>
    <t>IRINJALAKUDA</t>
  </si>
  <si>
    <t>JENSON KONIKKARA CHACKO</t>
  </si>
  <si>
    <t>Konikkara</t>
  </si>
  <si>
    <t>12 MattancheryCochin</t>
  </si>
  <si>
    <t>EANSWIDE FINTAN</t>
  </si>
  <si>
    <t>19-450 A PARADATH HOUSE</t>
  </si>
  <si>
    <t>VARIAM JUNCTION</t>
  </si>
  <si>
    <t>PALLURUTHY POERNAKULAM</t>
  </si>
  <si>
    <t>KUTTIKAMMATH P A .</t>
  </si>
  <si>
    <t>27/45, PLOT NUMBER 160</t>
  </si>
  <si>
    <t>GIRINAGAR</t>
  </si>
  <si>
    <t>JACKSON K K</t>
  </si>
  <si>
    <t>43/2143,TEMPLE RD</t>
  </si>
  <si>
    <t>KADAVANTHRA</t>
  </si>
  <si>
    <t>COCHINCOCHIN</t>
  </si>
  <si>
    <t>VENKITACHALAM P R</t>
  </si>
  <si>
    <t>MIG/397</t>
  </si>
  <si>
    <t>PANAMPILLY NAGAR</t>
  </si>
  <si>
    <t>PANAMPILLY NAGARKOCHI</t>
  </si>
  <si>
    <t>ALEX MATHEW VAIDYAN .</t>
  </si>
  <si>
    <t>H NO 49/1374/A</t>
  </si>
  <si>
    <t>PATHU PARAYIL</t>
  </si>
  <si>
    <t>VALUMMEL ROAD</t>
  </si>
  <si>
    <t>TRIPUNITHURA</t>
  </si>
  <si>
    <t>SABIQ ALI</t>
  </si>
  <si>
    <t>KOLLIYIL HOUSE</t>
  </si>
  <si>
    <t>S N AUDITORIUM</t>
  </si>
  <si>
    <t>EDAVANAKKAD KOCHIERNAKULAM</t>
  </si>
  <si>
    <t>K K KRISHNAKUMAR .</t>
  </si>
  <si>
    <t>KALLAMPALLY MADAM VENKATHANAM</t>
  </si>
  <si>
    <t>P.O.CHRY</t>
  </si>
  <si>
    <t>KURIAN P K</t>
  </si>
  <si>
    <t>PAITHITHARA HOUSE</t>
  </si>
  <si>
    <t>KANJIRAPPARA P O</t>
  </si>
  <si>
    <t>PRASANTH KUMAR A G</t>
  </si>
  <si>
    <t>AMBADIYIL</t>
  </si>
  <si>
    <t>VELLOOR P O PAMPADY</t>
  </si>
  <si>
    <t>JOBY AUGUSTINE</t>
  </si>
  <si>
    <t>EDAKKARA HOUSE</t>
  </si>
  <si>
    <t>EZHACHERRY</t>
  </si>
  <si>
    <t>ELDO P MATHEW .</t>
  </si>
  <si>
    <t>POLIYAPRAYIL HOUSE</t>
  </si>
  <si>
    <t>PERUMPADAVOM P O</t>
  </si>
  <si>
    <t>ELANJI</t>
  </si>
  <si>
    <t>BEENA JAYASANKAR .</t>
  </si>
  <si>
    <t>312 KAIPILLIL 6</t>
  </si>
  <si>
    <t>MANEED</t>
  </si>
  <si>
    <t>PIRAVOM</t>
  </si>
  <si>
    <t>UDAYAMPEROOR</t>
  </si>
  <si>
    <t>BINU SANKARANKUTTY</t>
  </si>
  <si>
    <t>HARIKRISHNA S L PURAM P O</t>
  </si>
  <si>
    <t>CHERTHALA KERALA</t>
  </si>
  <si>
    <t>MOHANAN POTTI</t>
  </si>
  <si>
    <t>VADAKKEMADOM,</t>
  </si>
  <si>
    <t>KEEZHCHERIMEL,</t>
  </si>
  <si>
    <t>CHENGANNUR,KERALA</t>
  </si>
  <si>
    <t>AJITH C GEORGE</t>
  </si>
  <si>
    <t>CHANGAYIL CHURULIKODE PO</t>
  </si>
  <si>
    <t>MANJU MURALI</t>
  </si>
  <si>
    <t>KUTTIYIL PADEETTATHIL CHUNAKARA</t>
  </si>
  <si>
    <t>CHUNAKARA NADUVIL CHUNAKARA P O</t>
  </si>
  <si>
    <t>MAVELIKARA</t>
  </si>
  <si>
    <t>QUILON</t>
  </si>
  <si>
    <t>JAWAHAR G</t>
  </si>
  <si>
    <t>180 JAWAHAR HOUSE</t>
  </si>
  <si>
    <t>10 POOTHAKULAM</t>
  </si>
  <si>
    <t>NEAR KIZHAKKEVEETTIL TEMPLEKOLLAM</t>
  </si>
  <si>
    <t>KOLLAM</t>
  </si>
  <si>
    <t>TRIVANDRUM</t>
  </si>
  <si>
    <t>ANJU KRISHNAKUMAR</t>
  </si>
  <si>
    <t>H N 20/126 1 RAJESWARY NIVAS</t>
  </si>
  <si>
    <t>MELARANUR KARAMANA PO</t>
  </si>
  <si>
    <t>GIREESH KUMAR.S .</t>
  </si>
  <si>
    <t>SURYA,</t>
  </si>
  <si>
    <t>53,MANNARTHALAKKAL VEEDU</t>
  </si>
  <si>
    <t>EDAKULAM,PEROORKADA.P.O</t>
  </si>
  <si>
    <t>GOPAKUMAR MADHAVAN PILLAI</t>
  </si>
  <si>
    <t>9/202 CHERUKONATHU VEEDU</t>
  </si>
  <si>
    <t>9 KARIYAM ULLOOR TRIVANDRUM</t>
  </si>
  <si>
    <t>RAJ KUMAR JHUNJHUNWALA</t>
  </si>
  <si>
    <t>2 LAL BAZAR STREET</t>
  </si>
  <si>
    <t>101 TODI CHAMBER</t>
  </si>
  <si>
    <t>SWAPAN KUMAR PALIT</t>
  </si>
  <si>
    <t>42B, BALDEO PARA ROAD</t>
  </si>
  <si>
    <t>DINESH KUMAR AGARWAL</t>
  </si>
  <si>
    <t>P 200</t>
  </si>
  <si>
    <t>JAGANNATH GHAT CROSS ROAD</t>
  </si>
  <si>
    <t>POST BURRABAZARKOLKATA</t>
  </si>
  <si>
    <t>BURRABAZAR</t>
  </si>
  <si>
    <t>AMREEN SHARIQUE</t>
  </si>
  <si>
    <t>3RD FLR 62 SHAKESPEARE</t>
  </si>
  <si>
    <t>SARANI INFRONT ANDHRA</t>
  </si>
  <si>
    <t>BANK KOLKATA</t>
  </si>
  <si>
    <t>DIPTENDRA NATH GANGULY</t>
  </si>
  <si>
    <t>110/18A SALIMPUR ROAD KASBA</t>
  </si>
  <si>
    <t>SOUTH 24 PARGANAS</t>
  </si>
  <si>
    <t>PARTHA CHAKRABORTY</t>
  </si>
  <si>
    <t>IB,SAMARPALLY, KOLKATA,</t>
  </si>
  <si>
    <t>KRISHNAPUR RAJARHAT,GOPALPUR,</t>
  </si>
  <si>
    <t>16, BAGUIATI KRISHNAPOREKOLKATA</t>
  </si>
  <si>
    <t>MANOJ . BISWAS</t>
  </si>
  <si>
    <t>28/A/1/1 NAPIT PARA MAIN ROAD</t>
  </si>
  <si>
    <t>BARRACKPORE</t>
  </si>
  <si>
    <t>PO- NCP</t>
  </si>
  <si>
    <t>BURDWAN</t>
  </si>
  <si>
    <t>RITA DANIEL</t>
  </si>
  <si>
    <t>6/9 AKBAR ROAD A ZONE</t>
  </si>
  <si>
    <t>NEAR KALI MANDIR</t>
  </si>
  <si>
    <t>NEAR KALI MANDIRDURGAPUR WEST BENGAL</t>
  </si>
  <si>
    <t>BIKASH BASFORE</t>
  </si>
  <si>
    <t>HOSPITAL ROAD</t>
  </si>
  <si>
    <t>DURGAPURDIST BURDWAN WEST BENGAL</t>
  </si>
  <si>
    <t>NADIA</t>
  </si>
  <si>
    <t>PROSENJIT BISWAS</t>
  </si>
  <si>
    <t>DAKSHINPARA FULL,</t>
  </si>
  <si>
    <t>JAYGHATA,</t>
  </si>
  <si>
    <t>KRISHNAGANJ</t>
  </si>
  <si>
    <t>MURSHIDABAD</t>
  </si>
  <si>
    <t>DEEPAK CHANDRA LAHIRI</t>
  </si>
  <si>
    <t>MAUJA BASUDEBPUR 95 PARA INDRAPALLI</t>
  </si>
  <si>
    <t>19 NANG RAGHUNATHGANJ RAGHUNATHGANJ</t>
  </si>
  <si>
    <t>BOYS HIGH SCHOOLMURSHIDABAD WEST BENGAL</t>
  </si>
  <si>
    <t>BALASORE</t>
  </si>
  <si>
    <t>RAM CHANDRA PANDA</t>
  </si>
  <si>
    <t>AT-BHASKARGANJ-B,</t>
  </si>
  <si>
    <t>PO-BALASORE,</t>
  </si>
  <si>
    <t>BALASORE,ORISSA,</t>
  </si>
  <si>
    <t>D BARUN KUMAR</t>
  </si>
  <si>
    <t>WARD NO 14</t>
  </si>
  <si>
    <t>MOSALIKANTI VARI STREET</t>
  </si>
  <si>
    <t>BERHAMPURBERHAMPUR</t>
  </si>
  <si>
    <t>VIKASH AGRAWAL</t>
  </si>
  <si>
    <t>S/O RAMESH KUMAR AGRAWAL</t>
  </si>
  <si>
    <t>MAIN ROAD,KANTABANJI</t>
  </si>
  <si>
    <t>DIST BOLANGIR,HPCL DEALER</t>
  </si>
  <si>
    <t>KANTABANJI</t>
  </si>
  <si>
    <t>RAIPUR</t>
  </si>
  <si>
    <t>PRASHANT SEHGAL</t>
  </si>
  <si>
    <t>6 DALEFIELD ROEBUCK LANE</t>
  </si>
  <si>
    <t>BUCKHURST HILL</t>
  </si>
  <si>
    <t>ESSEX IG95QT</t>
  </si>
  <si>
    <t>GEORGE RODRIGUES</t>
  </si>
  <si>
    <t>EMIRATES INDUSTRIAL GASES CO LLC</t>
  </si>
  <si>
    <t>P O BOX 1523</t>
  </si>
  <si>
    <t>AJMANUAE</t>
  </si>
  <si>
    <t>GERRY DOUGLES</t>
  </si>
  <si>
    <t>WATANIYA TELECOME TECH</t>
  </si>
  <si>
    <t>DVN 6TH FLOOR</t>
  </si>
  <si>
    <t>P O BOX 613SAFAT 13007</t>
  </si>
  <si>
    <t>MILIND SURESH KANETKAR</t>
  </si>
  <si>
    <t>P O BOX 23467</t>
  </si>
  <si>
    <t>SHARJAH CITY</t>
  </si>
  <si>
    <t>SHARJAHUAE</t>
  </si>
  <si>
    <t>RAVINDER SINGH</t>
  </si>
  <si>
    <t>ROSHANARA ROAD</t>
  </si>
  <si>
    <t>NEAR BHARGHARDELHI</t>
  </si>
  <si>
    <t>MOHNI SURI</t>
  </si>
  <si>
    <t>D-27,</t>
  </si>
  <si>
    <t>D-BLOCK,</t>
  </si>
  <si>
    <t>KIRTI NAGAR,NEW DELHI.</t>
  </si>
  <si>
    <t>DINESH BAJAJ HUF .</t>
  </si>
  <si>
    <t>E-14/B</t>
  </si>
  <si>
    <t>VIKAS MARG</t>
  </si>
  <si>
    <t>LAXMI NAGAR</t>
  </si>
  <si>
    <t>GAGANDEEP SINGH</t>
  </si>
  <si>
    <t>C/O SUNDER SINGH,SHOP NUMBER,496</t>
  </si>
  <si>
    <t>3,ALLEN COOPER,NEAR MASJID,SADA</t>
  </si>
  <si>
    <t>R BAZAR,BATHINDA,BATHINDA,PUNJABBATHINDA</t>
  </si>
  <si>
    <t>NARESH VAID</t>
  </si>
  <si>
    <t>HNOEP710 BAWA WALI GALI</t>
  </si>
  <si>
    <t>SHAHIDI CHOWK</t>
  </si>
  <si>
    <t>JAMMUBAKSHINAGAR</t>
  </si>
  <si>
    <t>USHA BHATIA</t>
  </si>
  <si>
    <t>37 G.F</t>
  </si>
  <si>
    <t>JAIPURIYA ENCLAVE</t>
  </si>
  <si>
    <t>KAUSHAMBIGHAZIABAD</t>
  </si>
  <si>
    <t>VARANASI</t>
  </si>
  <si>
    <t>PRATIBHA LADHA</t>
  </si>
  <si>
    <t>H.NO.7/34,</t>
  </si>
  <si>
    <t>LALA SUR KI GALI</t>
  </si>
  <si>
    <t>SADAR</t>
  </si>
  <si>
    <t>GWALIOR</t>
  </si>
  <si>
    <t>PREM CHANDRA VERMA</t>
  </si>
  <si>
    <t>584-KHA-154</t>
  </si>
  <si>
    <t>QUILA MOHAMDI ASHIYANA</t>
  </si>
  <si>
    <t>TONDI KHERA</t>
  </si>
  <si>
    <t>BAREILLY</t>
  </si>
  <si>
    <t>N R DUDI</t>
  </si>
  <si>
    <t>M I ROOM</t>
  </si>
  <si>
    <t>JAT REGT CENTRE</t>
  </si>
  <si>
    <t>DEHRADUN</t>
  </si>
  <si>
    <t>MEENA GUPTA</t>
  </si>
  <si>
    <t>13,</t>
  </si>
  <si>
    <t>DHAMAWALA MOHALLA</t>
  </si>
  <si>
    <t>PRADEEP NAWANI</t>
  </si>
  <si>
    <t>STREET NO 6 NEAR RING ROAD</t>
  </si>
  <si>
    <t>BADRISH COLONY</t>
  </si>
  <si>
    <t>PO- NEHRUGRAM</t>
  </si>
  <si>
    <t>MEERUT</t>
  </si>
  <si>
    <t>ANKIT GOEL</t>
  </si>
  <si>
    <t>466 NEAR DEEP NURSING HOME</t>
  </si>
  <si>
    <t>BRAHAMPURI MEERUT</t>
  </si>
  <si>
    <t>MOHAN JHA</t>
  </si>
  <si>
    <t>B-67 AWAS VIKAS COLONY</t>
  </si>
  <si>
    <t>SHAHPUR</t>
  </si>
  <si>
    <t>NEAR PO-GEETA VATIKAGORAKHPUR</t>
  </si>
  <si>
    <t>STATE BANK OF INDIA</t>
  </si>
  <si>
    <t>BANK ROAD</t>
  </si>
  <si>
    <t>PRATAP SINGH SANCHETI</t>
  </si>
  <si>
    <t>KAPAS MANDI RD</t>
  </si>
  <si>
    <t>BEHIND S K PLAZA</t>
  </si>
  <si>
    <t>SANCHETI COLONY</t>
  </si>
  <si>
    <t>GULAMABBAS JIGARALI GABHRANI</t>
  </si>
  <si>
    <t>FLAT NO. G-2 SHIV RANJANI</t>
  </si>
  <si>
    <t>APPARTMENT PATTNI</t>
  </si>
  <si>
    <t>PLAZA DEVBAUG TAKHTESHWAR</t>
  </si>
  <si>
    <t>AHMEDABAD</t>
  </si>
  <si>
    <t>DEEPAKKUMAR PRAKASHCHANDRA GURNANI</t>
  </si>
  <si>
    <t>150 A 2 PRAKASH GALI NR SHREE</t>
  </si>
  <si>
    <t>MANDIR THAKKARBAPANAGAR</t>
  </si>
  <si>
    <t>NR CHELARAM CLOTH FACTORY</t>
  </si>
  <si>
    <t>BHANUSHANKAR KASHIRAM PUROHIT</t>
  </si>
  <si>
    <t>40 URJANAGAR SOCIETY</t>
  </si>
  <si>
    <t>NR BILADI BAUG</t>
  </si>
  <si>
    <t>MEHSANAMEHSANA</t>
  </si>
  <si>
    <t>MEHSANA</t>
  </si>
  <si>
    <t>SANJAYKUMAR JAGADISHCHANDRA BHAVSAR</t>
  </si>
  <si>
    <t>1175 , BAJAR FALIYA ,</t>
  </si>
  <si>
    <t>AT &amp; PO KADOD ,</t>
  </si>
  <si>
    <t>TA-BARDOLI , DIS- SURAT</t>
  </si>
  <si>
    <t>BARDOLI</t>
  </si>
  <si>
    <t>SURAT</t>
  </si>
  <si>
    <t>PREMKUMAR SATYANARAYAN AGRAWAL</t>
  </si>
  <si>
    <t>B-2, 102-AASTHA APARTMENT</t>
  </si>
  <si>
    <t>VESU,NEAR SUDA AVAS</t>
  </si>
  <si>
    <t>SURAT CITY</t>
  </si>
  <si>
    <t>VESU</t>
  </si>
  <si>
    <t>OPTIMUM SECURITIES PVT LTD</t>
  </si>
  <si>
    <t>3 AMBA BHAVAN</t>
  </si>
  <si>
    <t>29 SION CIRCLE</t>
  </si>
  <si>
    <t>SION WESTMUMBAI</t>
  </si>
  <si>
    <t>RAJENDRA KRISHNA HIVARKAR</t>
  </si>
  <si>
    <t>LAXMI NIWAS SAHAKARI</t>
  </si>
  <si>
    <t>GRUHNIRMAN SANSTHA-4, A WING</t>
  </si>
  <si>
    <t>606, N M JOSHI MARG BYCULLA</t>
  </si>
  <si>
    <t>VASHI</t>
  </si>
  <si>
    <t>NAVI MUMBAI</t>
  </si>
  <si>
    <t>RATNAKAR KORAGA SHETTY</t>
  </si>
  <si>
    <t>596-18 3RD FLOOR LINK PALACE</t>
  </si>
  <si>
    <t>PLOT NO C-304 CIBA GIEGY ROAD</t>
  </si>
  <si>
    <t>W-EXPRESS HIGHWAY GOREGAON (E)</t>
  </si>
  <si>
    <t>CHANDU KANJIBHAI TANK</t>
  </si>
  <si>
    <t>ROOM NO 3 ASHAR COTTAGE</t>
  </si>
  <si>
    <t>BEHIND SUNDARAM BLDG</t>
  </si>
  <si>
    <t>RAMCHANDRA LANE MALAD WEST</t>
  </si>
  <si>
    <t>ANVAR ABUVAKARSAHEB BASHA</t>
  </si>
  <si>
    <t>ROOM NO 10 1ST FLR NOOR MANZIL</t>
  </si>
  <si>
    <t>PLOT 209 C S T ROAD KURLA WEST</t>
  </si>
  <si>
    <t>BEHIND KURLA NAGRIK BANK</t>
  </si>
  <si>
    <t>PREETI ATUL ANJARIA</t>
  </si>
  <si>
    <t>12A, GEETANJALI, SHIVRAM CHS,</t>
  </si>
  <si>
    <t>DEVIDAYAL ROAD,</t>
  </si>
  <si>
    <t>MULUND -WEST</t>
  </si>
  <si>
    <t>ARUN VASUDEO O E</t>
  </si>
  <si>
    <t>B 8 AUGMARIE C H S LTD</t>
  </si>
  <si>
    <t>BAMANWADA VILE PARLE EAST</t>
  </si>
  <si>
    <t>MUMBAIMAHARASHTRA</t>
  </si>
  <si>
    <t>ROHAN R SAPLE</t>
  </si>
  <si>
    <t>E 501, PANCHAVAN COMPLEX CHS LTD.,</t>
  </si>
  <si>
    <t>LAXMAN MHATRE ROAD,</t>
  </si>
  <si>
    <t>I C COLONY,</t>
  </si>
  <si>
    <t>PANDURANG CHANDU WAJAGE</t>
  </si>
  <si>
    <t>B-102 SHIVSAGAR CO-OP HSG SOC</t>
  </si>
  <si>
    <t>PLOT NO 8 SECTOR -2</t>
  </si>
  <si>
    <t>SANPADA (E)</t>
  </si>
  <si>
    <t>LAXMICHAND GANGJI SANGOI</t>
  </si>
  <si>
    <t>A-302,CLASSIC ,SKYLARK,</t>
  </si>
  <si>
    <t>PLOT NO-21,SECTOR NO-15,</t>
  </si>
  <si>
    <t>KOPAR-KHAIRANE</t>
  </si>
  <si>
    <t>SHIVAJI R CHAVAN</t>
  </si>
  <si>
    <t>PLOT NO - 7</t>
  </si>
  <si>
    <t>S NO - 67 / B / 23</t>
  </si>
  <si>
    <t>TINGRE NAGAR</t>
  </si>
  <si>
    <t>Pune</t>
  </si>
  <si>
    <t>GORDHAN M SUNDRANI</t>
  </si>
  <si>
    <t>FL NO A 701 LA SALETTE</t>
  </si>
  <si>
    <t>KASTURI SHELTER S 134</t>
  </si>
  <si>
    <t>HISSA 1 2 MUNDHWA RD HADAPSARPUNE</t>
  </si>
  <si>
    <t>OSMANABAD</t>
  </si>
  <si>
    <t>JAYANT DEVIDASRAO SHINDE</t>
  </si>
  <si>
    <t>AT PARA TA WASHI PARA PARA OSM</t>
  </si>
  <si>
    <t>ANABAD</t>
  </si>
  <si>
    <t>SAHYOG NAGAR</t>
  </si>
  <si>
    <t>AHMEDNAGAR</t>
  </si>
  <si>
    <t>TARA SURESHCHANDRA BIHANI</t>
  </si>
  <si>
    <t>AT POST VAMBORI</t>
  </si>
  <si>
    <t>TAL- RAHURI</t>
  </si>
  <si>
    <t>AKASH PRADEEP SHAHA</t>
  </si>
  <si>
    <t>7278, CENTRAL BANK ROAD,</t>
  </si>
  <si>
    <t>BEHIND NAGAR URBAN BANK,</t>
  </si>
  <si>
    <t>SURESH SUGANCHAND KUCHERIA</t>
  </si>
  <si>
    <t>JAIN GALLI</t>
  </si>
  <si>
    <t>ATPOST-PATHARDI</t>
  </si>
  <si>
    <t>TAL-PATHARDI DIST-AHMEDNAGAR</t>
  </si>
  <si>
    <t>PATHARDI</t>
  </si>
  <si>
    <t>SATARA</t>
  </si>
  <si>
    <t>JOTIRAM SITARAM MORE</t>
  </si>
  <si>
    <t>KODOLI</t>
  </si>
  <si>
    <t>KODOLI SATARA</t>
  </si>
  <si>
    <t>SATARA KARAD</t>
  </si>
  <si>
    <t>KARAD</t>
  </si>
  <si>
    <t>S SURESH KUMAR</t>
  </si>
  <si>
    <t>5 ULHAS BLDG</t>
  </si>
  <si>
    <t>LOK GRAM COMPLEX</t>
  </si>
  <si>
    <t>KALYAN EAST</t>
  </si>
  <si>
    <t>BHADRESH BABULNATH ALUR</t>
  </si>
  <si>
    <t>H NO 841A PL NO 16 C S NO 78</t>
  </si>
  <si>
    <t>NR GAODEVI TEMPLE JAVSAI GAON</t>
  </si>
  <si>
    <t>AMBERNATH WESTMUMBAI</t>
  </si>
  <si>
    <t>NANDED</t>
  </si>
  <si>
    <t>TRUPTI NILESH MUNOT</t>
  </si>
  <si>
    <t>1-2-204, PARAS NAGAR,</t>
  </si>
  <si>
    <t>AMBIKA YOGAKUTIR JAVAL,</t>
  </si>
  <si>
    <t>SHIVAJI NAGAR,</t>
  </si>
  <si>
    <t>SAKSHI SANTOSH YADUKA</t>
  </si>
  <si>
    <t>PLOT NO. 40,</t>
  </si>
  <si>
    <t>WARDHAMAN NAGAR,</t>
  </si>
  <si>
    <t>RAVINDRA DONGARMAL SHARMA</t>
  </si>
  <si>
    <t>H.NO-383</t>
  </si>
  <si>
    <t>PLOT NO-230</t>
  </si>
  <si>
    <t>RAM NAGAR</t>
  </si>
  <si>
    <t>AKOLA</t>
  </si>
  <si>
    <t>ASHISH GOPIKISANJI BAHETI</t>
  </si>
  <si>
    <t>10 GORE APARTMENT NO.8</t>
  </si>
  <si>
    <t>BEHIND CARMEL SCHOOL</t>
  </si>
  <si>
    <t>SWARAJ PETH</t>
  </si>
  <si>
    <t>INDORE</t>
  </si>
  <si>
    <t>VIVEK P SINGH BHADORIA</t>
  </si>
  <si>
    <t>28 B GANGA DEVI NAGAR</t>
  </si>
  <si>
    <t>ALKA AJMERA</t>
  </si>
  <si>
    <t>DX 6</t>
  </si>
  <si>
    <t>SCH NO 71 SECTOR C</t>
  </si>
  <si>
    <t>RITESH KASHYAP</t>
  </si>
  <si>
    <t>H.NO 117 TELEKHEDA</t>
  </si>
  <si>
    <t>NEAR DHARNAKA</t>
  </si>
  <si>
    <t>MHOW</t>
  </si>
  <si>
    <t>SATNA</t>
  </si>
  <si>
    <t>ASHISH SINGH</t>
  </si>
  <si>
    <t>SO JABAR SINGH NR GOVT DIGREE</t>
  </si>
  <si>
    <t>COLL HANUMAN NAGAR NAI BASTI</t>
  </si>
  <si>
    <t>RAGHURAJ NGR SATNA BIRLA VIKAS</t>
  </si>
  <si>
    <t>K R GOKUL</t>
  </si>
  <si>
    <t>1/17/61 ALWAL</t>
  </si>
  <si>
    <t>RAMNAGAR RANGAREDDY</t>
  </si>
  <si>
    <t>CHITTA JAYARAMULU</t>
  </si>
  <si>
    <t>URAVAKONDA</t>
  </si>
  <si>
    <t>KRISHNA</t>
  </si>
  <si>
    <t>KUMMAMURU VENKATA LAKSHMI</t>
  </si>
  <si>
    <t>D.NO.23-26-14-6 SHIRDI APARTMENT</t>
  </si>
  <si>
    <t>SUMANAM VARI STREET NEAR 5-TH</t>
  </si>
  <si>
    <t>TOWN POLICE STATIONSATYANARAYANAPURAM, VIJAYAWADA</t>
  </si>
  <si>
    <t>VENKATESWARLU</t>
  </si>
  <si>
    <t>H NO 10/67/3</t>
  </si>
  <si>
    <t>AMARAVATHI PLOTS</t>
  </si>
  <si>
    <t>CHENCHUPETTENALI</t>
  </si>
  <si>
    <t>TENALI</t>
  </si>
  <si>
    <t>YELLAYYAMMA KAPPALA</t>
  </si>
  <si>
    <t>ASWINI PAWN BROKERS</t>
  </si>
  <si>
    <t>26 - 15 - 204, MAIN ROAD</t>
  </si>
  <si>
    <t>VIZAG</t>
  </si>
  <si>
    <t>VISAKHAPATNAM</t>
  </si>
  <si>
    <t>AUGUSTINE PETER S</t>
  </si>
  <si>
    <t>NO-103 N G E F EAST</t>
  </si>
  <si>
    <t>OLD GRAPES GARDEN</t>
  </si>
  <si>
    <t>SADANANDA NAGARBANGALORE</t>
  </si>
  <si>
    <t>L S SURESH BABU</t>
  </si>
  <si>
    <t>39, VASAVI STORES</t>
  </si>
  <si>
    <t>T C NAGAR</t>
  </si>
  <si>
    <t>LAGGERE MAIN ROADBANGALORE</t>
  </si>
  <si>
    <t>K ARUNA CHIRANJEEVI</t>
  </si>
  <si>
    <t>301 AKANKSHA APARTMENT WARD NO 146</t>
  </si>
  <si>
    <t>DORESANI PALYA VENKATADRI LAYOUT</t>
  </si>
  <si>
    <t>I I N B G ROADBANGALORE</t>
  </si>
  <si>
    <t>NEELA D .</t>
  </si>
  <si>
    <t>NO.30 THINDLU</t>
  </si>
  <si>
    <t>NEAR SUBRAMANYA NURSERY</t>
  </si>
  <si>
    <t>VIDYARANYAPURA POST</t>
  </si>
  <si>
    <t>S B DHANANJAYA</t>
  </si>
  <si>
    <t>7 260 B JAYA INSTITUTE ROAD</t>
  </si>
  <si>
    <t>KOLLEGAL TOWN KOLLEGAL</t>
  </si>
  <si>
    <t>CHAMARAJANAGARKARNATAKA</t>
  </si>
  <si>
    <t>SEETHALAKSHMI .</t>
  </si>
  <si>
    <t>DO H V KRISHNAMOORTHI</t>
  </si>
  <si>
    <t>SRINAGARI HOSADU</t>
  </si>
  <si>
    <t>POAST GUJJADI</t>
  </si>
  <si>
    <t>KUNDAPUR</t>
  </si>
  <si>
    <t>RAMANANDA T V</t>
  </si>
  <si>
    <t>THOTADA KENBRI</t>
  </si>
  <si>
    <t>NEMMAR POST</t>
  </si>
  <si>
    <t>SRINGERICHICKMANGALURU,KARNATAKA</t>
  </si>
  <si>
    <t>UMAKANTH SIDDAPPA JIGAJINNI</t>
  </si>
  <si>
    <t>A/P RABKAVI, TAL- JAMKHANDI</t>
  </si>
  <si>
    <t>DIST BAGALKOT</t>
  </si>
  <si>
    <t>RABKAVI</t>
  </si>
  <si>
    <t>BARANIRAJ J</t>
  </si>
  <si>
    <t>3/B1 MONISHA APTS ARISTOTLE STREET</t>
  </si>
  <si>
    <t>CHITLAPAKKAM</t>
  </si>
  <si>
    <t>KANCHEEPURAMKANCHEEPURAM</t>
  </si>
  <si>
    <t>VILLUPURAM</t>
  </si>
  <si>
    <t>VEERATESWARAN PANDRINATHAN BADRINARAYANAN</t>
  </si>
  <si>
    <t>133 SOUTH STREET</t>
  </si>
  <si>
    <t>TIRUKOILUR</t>
  </si>
  <si>
    <t>T S LAKSHMI NARAYANAN</t>
  </si>
  <si>
    <t>C 4 CHENGALPET ROAD</t>
  </si>
  <si>
    <t>BLOCK 11</t>
  </si>
  <si>
    <t>NEYVELI 3</t>
  </si>
  <si>
    <t>NEYVELI</t>
  </si>
  <si>
    <t>SENTHIL KUMAR</t>
  </si>
  <si>
    <t>WS 624, SMS COLONY,NAGAGUDI</t>
  </si>
  <si>
    <t>RD, SWAMI MALAI, THANJAVUR,</t>
  </si>
  <si>
    <t>KUMBAKONAM</t>
  </si>
  <si>
    <t>NATARAJ N S</t>
  </si>
  <si>
    <t>S/O SABAPATHI,37,VIDHAYA NAGAR,TH</t>
  </si>
  <si>
    <t>INDAL KEL,THINDAL</t>
  </si>
  <si>
    <t>.ERODE</t>
  </si>
  <si>
    <t>SATHYA VANI</t>
  </si>
  <si>
    <t>2 57 VISWESWARA NAGAR VILANKURICHI</t>
  </si>
  <si>
    <t>MAIN ROAD VILANKURICHI</t>
  </si>
  <si>
    <t>.COIMBATORE</t>
  </si>
  <si>
    <t>DAVY PAUL C</t>
  </si>
  <si>
    <t>FLAT NO S1 2ND FLOOR NITHYADHAN</t>
  </si>
  <si>
    <t>APPARTMENT PADMA LAY OUT</t>
  </si>
  <si>
    <t>CHINTHAMANI SUNGAMCOIMBATORE</t>
  </si>
  <si>
    <t>WAYANAD</t>
  </si>
  <si>
    <t>FOUSIYA .</t>
  </si>
  <si>
    <t>CHOKRAN</t>
  </si>
  <si>
    <t>VELLILADI,KANJIRANGAD</t>
  </si>
  <si>
    <t>THETTAMALA P O</t>
  </si>
  <si>
    <t>SURENDRAN .</t>
  </si>
  <si>
    <t>SOUTH PARAYAM PALLAM</t>
  </si>
  <si>
    <t>ANAMARI PO</t>
  </si>
  <si>
    <t>KOLLENGODE</t>
  </si>
  <si>
    <t>SANKAR NARAYANA MENON K</t>
  </si>
  <si>
    <t>FLAT NO 2 C, 2ND FLOOR</t>
  </si>
  <si>
    <t>CHELOOR VINTAGE PALACE</t>
  </si>
  <si>
    <t>KOTTAPPURAM ROAD</t>
  </si>
  <si>
    <t>ARUN JOY</t>
  </si>
  <si>
    <t>KAIPPULLY</t>
  </si>
  <si>
    <t>PARAMBAN HOUSE</t>
  </si>
  <si>
    <t>KOTHANATHU LANE EAST PORT P O</t>
  </si>
  <si>
    <t>RANI JOJO</t>
  </si>
  <si>
    <t>PANTHALOOKARAN HOUSE</t>
  </si>
  <si>
    <t>ST THOMAS STREET</t>
  </si>
  <si>
    <t>KURIACHIRA P.O.</t>
  </si>
  <si>
    <t>THANKAMANI VELAYUDHAN</t>
  </si>
  <si>
    <t>ARTHAT HOUSE</t>
  </si>
  <si>
    <t>OLARIKKARA</t>
  </si>
  <si>
    <t>PULLAZHI P O</t>
  </si>
  <si>
    <t>CEENA A D</t>
  </si>
  <si>
    <t>9 417, KOOLA HOUSE</t>
  </si>
  <si>
    <t>VELUTHUR P O</t>
  </si>
  <si>
    <t>VIA ARIMBUR</t>
  </si>
  <si>
    <t>GEEVAR.P.G .</t>
  </si>
  <si>
    <t>841, POOVATHINGAL HOUSE,</t>
  </si>
  <si>
    <t>OLLUR,</t>
  </si>
  <si>
    <t>JOSE A V</t>
  </si>
  <si>
    <t>ARAKKAL HOUSE</t>
  </si>
  <si>
    <t>THALORE P O</t>
  </si>
  <si>
    <t>SATHY E R</t>
  </si>
  <si>
    <t>W/O K A VISWAMBHARAN</t>
  </si>
  <si>
    <t>KODAPPULLY HOUSE</t>
  </si>
  <si>
    <t>P O ALAPADTHRISSUR</t>
  </si>
  <si>
    <t>N SREEKUMAR</t>
  </si>
  <si>
    <t>SREELAKSHMI(H),</t>
  </si>
  <si>
    <t>MELAGATH LANE,</t>
  </si>
  <si>
    <t>KALOOR,</t>
  </si>
  <si>
    <t>INDUSEKHAR PANICKER</t>
  </si>
  <si>
    <t>MANGAYIL HOUSE</t>
  </si>
  <si>
    <t>POONITHURA PO</t>
  </si>
  <si>
    <t>THRIPOONITHURA</t>
  </si>
  <si>
    <t>FIROSKHAN M H</t>
  </si>
  <si>
    <t>162 9 MANELIL</t>
  </si>
  <si>
    <t>KUNNUKARA</t>
  </si>
  <si>
    <t>ALUVA</t>
  </si>
  <si>
    <t>ARUN S JOSEPH</t>
  </si>
  <si>
    <t>KARIPARAMBIL H</t>
  </si>
  <si>
    <t>GOOD SHEPHERED ST</t>
  </si>
  <si>
    <t>KOTTAYAMKOTTAYAM</t>
  </si>
  <si>
    <t>MANU THOMAS</t>
  </si>
  <si>
    <t>12 367 CHERAMPERIL NEDUMAVU</t>
  </si>
  <si>
    <t>VAZHOOR</t>
  </si>
  <si>
    <t>CHANGANASSERRY</t>
  </si>
  <si>
    <t>ANILJITH V K</t>
  </si>
  <si>
    <t>VAZHAKALAYIL H</t>
  </si>
  <si>
    <t>KALLARA KOTTAYAM</t>
  </si>
  <si>
    <t>OLLUR</t>
  </si>
  <si>
    <t>CLARAMMA LUKOSE</t>
  </si>
  <si>
    <t>KUDILIL HOUSE</t>
  </si>
  <si>
    <t>MUTTUCHIRA</t>
  </si>
  <si>
    <t>ERAVIMANGALAM POSTKOTTAYAM</t>
  </si>
  <si>
    <t>ANILKUMAR K V</t>
  </si>
  <si>
    <t>KAMALALAYAM</t>
  </si>
  <si>
    <t>EDACODE</t>
  </si>
  <si>
    <t>NEMOM (PO)TRIVANDRUM</t>
  </si>
  <si>
    <t>RAJMOHAN THAMPI</t>
  </si>
  <si>
    <t>55/1277, SARAVANA, HNO 817</t>
  </si>
  <si>
    <t>SANKAR NAGAR</t>
  </si>
  <si>
    <t>KAIMANAMTRIVANDRUM</t>
  </si>
  <si>
    <t>BIJAN KANTI SEN</t>
  </si>
  <si>
    <t>1Y CHHATU BABU LANE</t>
  </si>
  <si>
    <t>KOLKATA,</t>
  </si>
  <si>
    <t>SHANKAR MUKHERJEE</t>
  </si>
  <si>
    <t>157/5</t>
  </si>
  <si>
    <t>3RD FL SOUTH BARUIPARA LANE</t>
  </si>
  <si>
    <t>SOBUJBITHI SCHOOL KOLKATAWEST BENGAL,INDIA</t>
  </si>
  <si>
    <t>POLO SETCO TIEUP PVT. LTD</t>
  </si>
  <si>
    <t>VISHWAKARMA, 86C TOPSIA ROAD</t>
  </si>
  <si>
    <t>SOUTH WEST BLOCK</t>
  </si>
  <si>
    <t>4TH FLOOR</t>
  </si>
  <si>
    <t>SUNIL KUMAR DHANUKA</t>
  </si>
  <si>
    <t>P-223 C.I.T. ROAD</t>
  </si>
  <si>
    <t>KANKURGACHI</t>
  </si>
  <si>
    <t>PARTHA DAS</t>
  </si>
  <si>
    <t>3 BARIPARA LANE FLAT-3B 3RD FLOOR</t>
  </si>
  <si>
    <t>BARANAGAR (M) ISI PO</t>
  </si>
  <si>
    <t>ARVIND ASOPA</t>
  </si>
  <si>
    <t>272/7</t>
  </si>
  <si>
    <t>SARAT CHATTERJEE ROAD</t>
  </si>
  <si>
    <t>HOWRAH</t>
  </si>
  <si>
    <t>PRAGYAN PARIMITA</t>
  </si>
  <si>
    <t>PLOT NO A/149</t>
  </si>
  <si>
    <t>SAHID NAGAR</t>
  </si>
  <si>
    <t>BHUBANESHWAR</t>
  </si>
  <si>
    <t>PRAMOD KUMAR MAHAPATRA</t>
  </si>
  <si>
    <t>BIMANAGAR AMBAPUA</t>
  </si>
  <si>
    <t>BERHAMPUR GANJAM</t>
  </si>
  <si>
    <t>AT PO BHATAKUMARADA</t>
  </si>
  <si>
    <t>BERHAMPUR</t>
  </si>
  <si>
    <t>GUWAHATI</t>
  </si>
  <si>
    <t>LIKHAN DAS</t>
  </si>
  <si>
    <t>C/O MATRI TRADERS</t>
  </si>
  <si>
    <t>BARABAZAR</t>
  </si>
  <si>
    <t>PANDU</t>
  </si>
  <si>
    <t>TAPAN KUMAR DUTTA</t>
  </si>
  <si>
    <t>CHILARAY PATH</t>
  </si>
  <si>
    <t>DWARKANAGAR ,DISPUR</t>
  </si>
  <si>
    <t>PO KHANAPARA</t>
  </si>
  <si>
    <t>BHAGALPUR</t>
  </si>
  <si>
    <t>SONU KUMAR</t>
  </si>
  <si>
    <t>S/O-KISHUN SAH SABJI MARKET TH</t>
  </si>
  <si>
    <t>ANA ROAD SULTANGANJ</t>
  </si>
  <si>
    <t>BHAGALPUR BIHAR</t>
  </si>
  <si>
    <t>DHANBAD</t>
  </si>
  <si>
    <t>RITU DEVI</t>
  </si>
  <si>
    <t>H. NO. 58 BENAGORIA</t>
  </si>
  <si>
    <t>PS NIRSA TEH NIRSA</t>
  </si>
  <si>
    <t>GEORGE ALEXANDER</t>
  </si>
  <si>
    <t>P B NO 44084</t>
  </si>
  <si>
    <t>ABUDHABI</t>
  </si>
  <si>
    <t>UAEUAE</t>
  </si>
  <si>
    <t>JACOB GEORGE</t>
  </si>
  <si>
    <t>P O BOX 26715</t>
  </si>
  <si>
    <t>13128,SAFAT</t>
  </si>
  <si>
    <t>KUWAIT</t>
  </si>
  <si>
    <t>RAVICHANDRAN KARAPPUSWAMY</t>
  </si>
  <si>
    <t>PO BOX 1739 P.C 112 RUWI</t>
  </si>
  <si>
    <t>RUWI</t>
  </si>
  <si>
    <t>DIPTI GARG</t>
  </si>
  <si>
    <t>360 ENFIELD ROAD</t>
  </si>
  <si>
    <t>,DAYTONOHIO,USA</t>
  </si>
  <si>
    <t>WALTER JOSEPH PEREIRA</t>
  </si>
  <si>
    <t>MOHD SALEM SALEH AL MANHALI</t>
  </si>
  <si>
    <t>FLAT 309 W-SUB METER) 319/10</t>
  </si>
  <si>
    <t>ST DM 60 OUD METHA</t>
  </si>
  <si>
    <t>DUBAI</t>
  </si>
  <si>
    <t>DANIEL GEORGE</t>
  </si>
  <si>
    <t>POST BOX NO.270</t>
  </si>
  <si>
    <t>ABU DHABI</t>
  </si>
  <si>
    <t>UAE</t>
  </si>
  <si>
    <t>UNICON FINCAP PRIVATE LIMITED</t>
  </si>
  <si>
    <t>69,IIND FLOOR</t>
  </si>
  <si>
    <t>REGAL BUILDING</t>
  </si>
  <si>
    <t>CONNAUGHT PLACE</t>
  </si>
  <si>
    <t>SACHIN KUMAR RATHOR .</t>
  </si>
  <si>
    <t>H NO 12/25 SCHEDULE B</t>
  </si>
  <si>
    <t>RASHTRPATI BHAWAN</t>
  </si>
  <si>
    <t>PANKAJ KUMAR HANS</t>
  </si>
  <si>
    <t>52/32 RAMJAS ROAD KAROL BAGH S.O CEN</t>
  </si>
  <si>
    <t>TRAL DELHI</t>
  </si>
  <si>
    <t>DELHI DELHI</t>
  </si>
  <si>
    <t>OM PRAKASH GUPTA</t>
  </si>
  <si>
    <t>C- 4/1 GF</t>
  </si>
  <si>
    <t>RANA PRATAP BAGH</t>
  </si>
  <si>
    <t>RAJEEV JAIN</t>
  </si>
  <si>
    <t>B 6 3 FIRST FLOOR</t>
  </si>
  <si>
    <t>DELHIDELHI</t>
  </si>
  <si>
    <t>KAPIL MADAN</t>
  </si>
  <si>
    <t>7 / 19 FF BLOCK 7</t>
  </si>
  <si>
    <t>WEST PATEL NAGAR</t>
  </si>
  <si>
    <t>DEEPTI NEGI</t>
  </si>
  <si>
    <t>21, TYPE IIIRD</t>
  </si>
  <si>
    <t>DTL STAFF COLONY,</t>
  </si>
  <si>
    <t>KILOKRI, RING ROAD</t>
  </si>
  <si>
    <t>RAMESH LAL AHUJA</t>
  </si>
  <si>
    <t>307 MCD DISPENSARY</t>
  </si>
  <si>
    <t>JANGPURA</t>
  </si>
  <si>
    <t>SONIA MADAN</t>
  </si>
  <si>
    <t>16 A DDA FLATS</t>
  </si>
  <si>
    <t>BER SARAI</t>
  </si>
  <si>
    <t>APPOSITE OLD JNU CAMPUSNEW DELHI DELHI</t>
  </si>
  <si>
    <t>GAURAB BISWAS</t>
  </si>
  <si>
    <t>C 93 MMTC COLONY</t>
  </si>
  <si>
    <t>MEHRAULI ROAD</t>
  </si>
  <si>
    <t>SAADHVI SIKKA</t>
  </si>
  <si>
    <t>A-156,SECOND FLOOR, FATEH NAGAR, WES</t>
  </si>
  <si>
    <t>T DELHI, DELHI</t>
  </si>
  <si>
    <t>NEW DELHI DELHI</t>
  </si>
  <si>
    <t>VINEET SOOD .</t>
  </si>
  <si>
    <t>60, TF NRI COMPLEX</t>
  </si>
  <si>
    <t>GREATER KAILASH IV</t>
  </si>
  <si>
    <t>REKHA PAJANI</t>
  </si>
  <si>
    <t>TA235/4</t>
  </si>
  <si>
    <t>TUGALKABAD EXTN</t>
  </si>
  <si>
    <t>NIKHIL VERMA</t>
  </si>
  <si>
    <t>1869/15 FIRST FLOOR</t>
  </si>
  <si>
    <t>GOVIND PURI EXTN</t>
  </si>
  <si>
    <t>KALKAJI</t>
  </si>
  <si>
    <t>MOHD SHAHNAWAZ</t>
  </si>
  <si>
    <t>SHRI BALAJI INFRA DEVELOPERS P LK</t>
  </si>
  <si>
    <t>59 LG KALKAJI</t>
  </si>
  <si>
    <t>ARVIND KUMAR KHULLAR</t>
  </si>
  <si>
    <t>C 20</t>
  </si>
  <si>
    <t>KIDWAI NAGAR(EAST)</t>
  </si>
  <si>
    <t>KUMAR GAURAV</t>
  </si>
  <si>
    <t>QTR NO 51/02 MH LINE</t>
  </si>
  <si>
    <t>NEAR BRAR SQUARE RLY STN</t>
  </si>
  <si>
    <t>NARAINA BASE HOSP DELHI CANTT</t>
  </si>
  <si>
    <t>ADITYA PASRICHA</t>
  </si>
  <si>
    <t>SO RAJIV PASRICHA 1014 WARD7</t>
  </si>
  <si>
    <t>RADHEY SHYAM MANDIR MEHRAULI</t>
  </si>
  <si>
    <t>NEW DELHI SOUTH DELHI DELHI</t>
  </si>
  <si>
    <t>BRIJ LAL KAUSHAL</t>
  </si>
  <si>
    <t>64 SANDESH ENCLAVE SHAKUR</t>
  </si>
  <si>
    <t>BASTI DELHI</t>
  </si>
  <si>
    <t>DELHIINDIA</t>
  </si>
  <si>
    <t>ANUPAMA GUPTA</t>
  </si>
  <si>
    <t>145/5</t>
  </si>
  <si>
    <t>FRIENDS ENCLAVE</t>
  </si>
  <si>
    <t>S P ROAD NANGLOI</t>
  </si>
  <si>
    <t>WEST DELHI</t>
  </si>
  <si>
    <t>ROHIT KUMAR</t>
  </si>
  <si>
    <t>S/O HARI KRISHAN</t>
  </si>
  <si>
    <t>31 RAO MOHALLA SUREHRA</t>
  </si>
  <si>
    <t>Rana Utkarsh Singh</t>
  </si>
  <si>
    <t>NEAR PATHAL CLINIC MAIN</t>
  </si>
  <si>
    <t>SAGARPUR SAGARPUR</t>
  </si>
  <si>
    <t>NOIDA</t>
  </si>
  <si>
    <t>DINESH AGARWAL</t>
  </si>
  <si>
    <t>B 23</t>
  </si>
  <si>
    <t>SHALIMAR APARTMENT</t>
  </si>
  <si>
    <t>MASJID MOTH SOUTH EX IIDELHI</t>
  </si>
  <si>
    <t>SANJAY KUMAR GUPTA</t>
  </si>
  <si>
    <t>58 A</t>
  </si>
  <si>
    <t>EAST AZAD NAGARI</t>
  </si>
  <si>
    <t>GALI NO 12</t>
  </si>
  <si>
    <t>KRISHAN KUMAR</t>
  </si>
  <si>
    <t>F 6/34 FIRST FLOOR</t>
  </si>
  <si>
    <t>KRISHNA NAGAR</t>
  </si>
  <si>
    <t>SAURABH ARORA</t>
  </si>
  <si>
    <t>116-A LIG DDA FLATS</t>
  </si>
  <si>
    <t>MOTIA KHAN</t>
  </si>
  <si>
    <t>AVTAR KRISHAN SAMA .</t>
  </si>
  <si>
    <t>HOUSE NO 222 C2C BLOCK POCKET</t>
  </si>
  <si>
    <t>2 NEAR ORCHID HOSPITAL</t>
  </si>
  <si>
    <t>JANAKPURI B-1 WEST DELHI</t>
  </si>
  <si>
    <t>MITU KHOSLA</t>
  </si>
  <si>
    <t>H-NO 39 A-1 BLOCK JANAK PURI</t>
  </si>
  <si>
    <t>JANAK PURI NR DISTRICT CENTER</t>
  </si>
  <si>
    <t>ARSHAD ALI</t>
  </si>
  <si>
    <t>INTROSOFT SOLUTIONS</t>
  </si>
  <si>
    <t>502 DDA DISTRICT CENTER</t>
  </si>
  <si>
    <t>JANAK PURINEW DELHI</t>
  </si>
  <si>
    <t>Yoginder Kumar Solanki</t>
  </si>
  <si>
    <t>134 A HASTSAL VILLAGE UTTAM</t>
  </si>
  <si>
    <t>NAGAR</t>
  </si>
  <si>
    <t>VINEET HURIA</t>
  </si>
  <si>
    <t>A-35 POCKET-3 BLOCK-A DDA FLATS</t>
  </si>
  <si>
    <t>BINDA PUR UTTAM NAGAR WEST</t>
  </si>
  <si>
    <t>DELHIDELHI DELHI</t>
  </si>
  <si>
    <t>PUNITA RAY</t>
  </si>
  <si>
    <t>21RAKSH ENCLAVE EXTMOHAN GARDEN</t>
  </si>
  <si>
    <t>ROHTASH .</t>
  </si>
  <si>
    <t>D 775 VIKAS NAGAR D BLOCK</t>
  </si>
  <si>
    <t>JJCOLONY S HIV VIHAR</t>
  </si>
  <si>
    <t>JANAKPURI</t>
  </si>
  <si>
    <t>KAVITA .</t>
  </si>
  <si>
    <t>J-85 GALI NO-37</t>
  </si>
  <si>
    <t>RAJAPURI</t>
  </si>
  <si>
    <t>ANKIT KUMAR SINGH</t>
  </si>
  <si>
    <t>697 K II</t>
  </si>
  <si>
    <t>AARTI MALIK</t>
  </si>
  <si>
    <t>264 BE-BLOCK STREET NO. 3</t>
  </si>
  <si>
    <t>HARI NAGAR</t>
  </si>
  <si>
    <t>JASDEEP SINGH</t>
  </si>
  <si>
    <t>WZ 101 M 39 M BLOCK HARI</t>
  </si>
  <si>
    <t>NAGAR TOWER</t>
  </si>
  <si>
    <t>SANTOSH KUMAR JENA</t>
  </si>
  <si>
    <t>26 A</t>
  </si>
  <si>
    <t>SHYAM NAGAR</t>
  </si>
  <si>
    <t>OKHLANEW DELHI</t>
  </si>
  <si>
    <t>SATISH CHANDRA</t>
  </si>
  <si>
    <t>18A VINOVA ENCLAVE</t>
  </si>
  <si>
    <t>NEAR CRPF CAMP</t>
  </si>
  <si>
    <t>JHARODA KALANNEW DELHI</t>
  </si>
  <si>
    <t>SOUTH WEST DELHI</t>
  </si>
  <si>
    <t>CHAWAN TANWAR</t>
  </si>
  <si>
    <t>HOUSE NO 130ASOLA BANDH ROAD</t>
  </si>
  <si>
    <t>ASOLA FATEHPUR BERI</t>
  </si>
  <si>
    <t>R C BATRA</t>
  </si>
  <si>
    <t>B 56</t>
  </si>
  <si>
    <t>SECTOR 8</t>
  </si>
  <si>
    <t>DWARKANEW DELHI</t>
  </si>
  <si>
    <t>SOUTH DELHI</t>
  </si>
  <si>
    <t>REETWIK JHA</t>
  </si>
  <si>
    <t>HOUSE NO 406 JANKI</t>
  </si>
  <si>
    <t>APARTMENTSPLOT NO 7 SECTOR</t>
  </si>
  <si>
    <t>22 DWARKANEW DELHI</t>
  </si>
  <si>
    <t>KRISHAN PAL YADAV</t>
  </si>
  <si>
    <t>PLOT NO 409 410</t>
  </si>
  <si>
    <t>JHARODA DAIRY</t>
  </si>
  <si>
    <t>BURARI NORTH DELHI</t>
  </si>
  <si>
    <t>KOMAL NARA</t>
  </si>
  <si>
    <t>B-5/186-187 SECTOR-7</t>
  </si>
  <si>
    <t>ROHINI</t>
  </si>
  <si>
    <t>SADAR BAZAR</t>
  </si>
  <si>
    <t>SURESH KUMAR JAIN</t>
  </si>
  <si>
    <t>A-3/63 SECTOR 3ROHINI</t>
  </si>
  <si>
    <t>TRILOK SINGH</t>
  </si>
  <si>
    <t>121 E 4 SECTOR 7 ROHINI RAJA PUR</t>
  </si>
  <si>
    <t>KALAN ROHINI SECTOR 7 NORTH WEST</t>
  </si>
  <si>
    <t>DELHINEW DELHI</t>
  </si>
  <si>
    <t>KHUSHWINDER</t>
  </si>
  <si>
    <t>KHASRA NO. 1220</t>
  </si>
  <si>
    <t>RITHALA</t>
  </si>
  <si>
    <t>HARISH CHANDRA</t>
  </si>
  <si>
    <t>A312 GALI NO14 ANAND NAGAR</t>
  </si>
  <si>
    <t>GAURAV NAGAR KIRARI SULLEMAN</t>
  </si>
  <si>
    <t>NAGAR NORTH WEST DELHI</t>
  </si>
  <si>
    <t>BHAVUK AHUJA</t>
  </si>
  <si>
    <t>190GH5 AND 7 MEERA</t>
  </si>
  <si>
    <t>BAGHSUNDER VIHAR SO</t>
  </si>
  <si>
    <t>NEENA BHARDWAJ</t>
  </si>
  <si>
    <t>F-3/51, SECTOR -16</t>
  </si>
  <si>
    <t>GOPAL SAINI</t>
  </si>
  <si>
    <t>23A GALI SHIV MANDIR</t>
  </si>
  <si>
    <t>SHALIMAR VILLAGE SHALIMAR BAGH</t>
  </si>
  <si>
    <t>CHANDAN KUMAR KARAN</t>
  </si>
  <si>
    <t>KHICHRIPUR VILLLAGE</t>
  </si>
  <si>
    <t>RADHA AGGARWAL</t>
  </si>
  <si>
    <t>J-14 A</t>
  </si>
  <si>
    <t>VIJAY CHOWK</t>
  </si>
  <si>
    <t>LAXMI NAGARDELHI</t>
  </si>
  <si>
    <t>SUNITA DEVI GUPTA</t>
  </si>
  <si>
    <t>69,</t>
  </si>
  <si>
    <t>KIRAN VIHAR,</t>
  </si>
  <si>
    <t>KARKAR DOOMA,DELHI</t>
  </si>
  <si>
    <t>POONAM SHARMA</t>
  </si>
  <si>
    <t>H. NO. 227</t>
  </si>
  <si>
    <t>GALI NO. 4</t>
  </si>
  <si>
    <t>DURGAPURI EXTN.</t>
  </si>
  <si>
    <t>YOGESH GARG</t>
  </si>
  <si>
    <t>1420 JANTA FLATS</t>
  </si>
  <si>
    <t>GTB ENCLAVE</t>
  </si>
  <si>
    <t>RAMESH CHAND</t>
  </si>
  <si>
    <t>E 122 JHILMIL COLONY</t>
  </si>
  <si>
    <t>BEHIND VIVEK VIHAR POLICE STATIONDELHI DELHI</t>
  </si>
  <si>
    <t>VIKAS DHARIWAL KIRAN</t>
  </si>
  <si>
    <t>419 AL NASR PLAZA OFFICE BLDG OUD ME</t>
  </si>
  <si>
    <t>THA PO BXO 922</t>
  </si>
  <si>
    <t>ANDREWS JOSEPH</t>
  </si>
  <si>
    <t>SAFETY SECURITY EQPT CO LTD</t>
  </si>
  <si>
    <t>AL MOOSA COMPLEX</t>
  </si>
  <si>
    <t>P B NO 4645,KHOBARKSA 31952</t>
  </si>
  <si>
    <t>SANJAY GUPTA</t>
  </si>
  <si>
    <t>HOUSE NO 215 SECTOR 8</t>
  </si>
  <si>
    <t>FARIDABAD HARYANA</t>
  </si>
  <si>
    <t>FARIDABAD</t>
  </si>
  <si>
    <t>KAMAL DEEP SINGH</t>
  </si>
  <si>
    <t>HOUSE NO-M.C.F-110 NEAR</t>
  </si>
  <si>
    <t>VAISHNO DEVI MANDIR SANJAY</t>
  </si>
  <si>
    <t>COLONY SECTOR 23 FARIDABAD</t>
  </si>
  <si>
    <t>LALIT VEER</t>
  </si>
  <si>
    <t>pyala</t>
  </si>
  <si>
    <t>Piala(54) - Faridabad</t>
  </si>
  <si>
    <t>PALWAL</t>
  </si>
  <si>
    <t>RAKESH RAJMAL JAIN</t>
  </si>
  <si>
    <t>1025, SEC. - 15 - II,</t>
  </si>
  <si>
    <t>MANOJ KUMAR</t>
  </si>
  <si>
    <t>ISLAMPUR COLONY</t>
  </si>
  <si>
    <t>HARYANA</t>
  </si>
  <si>
    <t>RAMAN KUMAR</t>
  </si>
  <si>
    <t>HOUSE NO421 SATGURU FARMS</t>
  </si>
  <si>
    <t>OPPOSITE MARUTI GATE NO01</t>
  </si>
  <si>
    <t>UDHYOG VIHAR</t>
  </si>
  <si>
    <t>ORIENTAL BANK OF COMMERCE</t>
  </si>
  <si>
    <t>ARVINDER KUMAR</t>
  </si>
  <si>
    <t>NO 46 A SECOND FLOOR</t>
  </si>
  <si>
    <t>SANJAY GRAM COLONY</t>
  </si>
  <si>
    <t>NEAR HANUMAN TEMPLEGURGAON</t>
  </si>
  <si>
    <t>JASWINDER SINGH MEHTA</t>
  </si>
  <si>
    <t>HOUSE NO 706 KARAMYOGI APARTMENT</t>
  </si>
  <si>
    <t>SECTOR 10A</t>
  </si>
  <si>
    <t>GURGAONGURGAON HARYANA</t>
  </si>
  <si>
    <t>NAVEEN KUMAR</t>
  </si>
  <si>
    <t>POLICE STN SADAR SECTOR 38</t>
  </si>
  <si>
    <t>DEEPAK KUMAR .</t>
  </si>
  <si>
    <t>G-104 105 KRISHNA RESIDENCY</t>
  </si>
  <si>
    <t>PART-3 GALIN 03 ASHOK VIHAR</t>
  </si>
  <si>
    <t>PALAM VIHAR EXT CHOMA 62</t>
  </si>
  <si>
    <t>GURUGRAM</t>
  </si>
  <si>
    <t>SHIV KUMAR BABBAR</t>
  </si>
  <si>
    <t>722/23 LAXMI GARDEN</t>
  </si>
  <si>
    <t>SUNAINA YADAV</t>
  </si>
  <si>
    <t>SHIVA ENCLAVE PART 2 SADHRANA</t>
  </si>
  <si>
    <t>KI DHANI, SADHRANA 45</t>
  </si>
  <si>
    <t>REWARI</t>
  </si>
  <si>
    <t>SUDHIR KUMAR</t>
  </si>
  <si>
    <t>H.No. 1533 Mata Mohalla</t>
  </si>
  <si>
    <t>Near Old Post Office</t>
  </si>
  <si>
    <t>LUDHIANA</t>
  </si>
  <si>
    <t>ROHTAK</t>
  </si>
  <si>
    <t>ANITA .</t>
  </si>
  <si>
    <t>W/O Narender Kumar Hooda 659/29/1vishal nagar</t>
  </si>
  <si>
    <t>Rohtak vishal nagar Rohtak vishal nagar Rohtak vishal</t>
  </si>
  <si>
    <t>nagar Rohtak</t>
  </si>
  <si>
    <t>JHAJJAR</t>
  </si>
  <si>
    <t>MANAV MADAAN</t>
  </si>
  <si>
    <t>161 3 SITA RAM GATE JHAJJAR</t>
  </si>
  <si>
    <t>TEH AND DISTT JHAJJAR</t>
  </si>
  <si>
    <t>NILESH .</t>
  </si>
  <si>
    <t>YAQUBPUR82</t>
  </si>
  <si>
    <t>SARJIT SINGH SINGHAL</t>
  </si>
  <si>
    <t>H.NO. 185/16</t>
  </si>
  <si>
    <t>ARYA NAGAR</t>
  </si>
  <si>
    <t>JHAJJARHARYANA</t>
  </si>
  <si>
    <t>BUS STAND</t>
  </si>
  <si>
    <t>SAVITA DEVI</t>
  </si>
  <si>
    <t>36 LOHARHERI 27</t>
  </si>
  <si>
    <t>POONAM .</t>
  </si>
  <si>
    <t>W/O SURENDER SING 11-B ISMAILA</t>
  </si>
  <si>
    <t>ISMAILA-11B 37 ISMAILA ROHTAK</t>
  </si>
  <si>
    <t>PARVEEN JAIN</t>
  </si>
  <si>
    <t>H-NO-316-18</t>
  </si>
  <si>
    <t>MOHALLA-DOGRAN</t>
  </si>
  <si>
    <t>NEAR-KRISHAN-CHAKI-WALA</t>
  </si>
  <si>
    <t>MOHAR SINGH</t>
  </si>
  <si>
    <t>SIRSA ROAD DANDHOOR BIR</t>
  </si>
  <si>
    <t>HISAR (145) HISAR</t>
  </si>
  <si>
    <t>.HISAR HARYANA</t>
  </si>
  <si>
    <t>YESVIR SINGH</t>
  </si>
  <si>
    <t>VILL PO MUZADPUR TEH HANSI</t>
  </si>
  <si>
    <t>DISTT HISAR</t>
  </si>
  <si>
    <t>ANUDEEP</t>
  </si>
  <si>
    <t>GALI PEER WALI,</t>
  </si>
  <si>
    <t>SIRSA,</t>
  </si>
  <si>
    <t>SIRSA</t>
  </si>
  <si>
    <t>SURENDER SINGH</t>
  </si>
  <si>
    <t>SO JASPAL SINGH GALI NUMBER</t>
  </si>
  <si>
    <t>05 NEAR SWAMI KIRYANA STORE</t>
  </si>
  <si>
    <t>SHIV NAGAR SIRSA SIRSA</t>
  </si>
  <si>
    <t>BHAG CHAND VERMA</t>
  </si>
  <si>
    <t>S/O RAM SINGH VPO</t>
  </si>
  <si>
    <t>DHANI KHAN BAHADUR</t>
  </si>
  <si>
    <t>BARWALA RURAL 128 HISARHISAR</t>
  </si>
  <si>
    <t>BHIWANI</t>
  </si>
  <si>
    <t>VAIBHAV VINAYAK</t>
  </si>
  <si>
    <t>SO VINAY VINAYAK 106 PARK</t>
  </si>
  <si>
    <t>COLONY</t>
  </si>
  <si>
    <t>AJAY SINGH</t>
  </si>
  <si>
    <t>H NO 2920 W NO 1-13 BHIWANI</t>
  </si>
  <si>
    <t>PARDEEP KUMAR</t>
  </si>
  <si>
    <t>CO MAHENDER SINGH CHANG 5</t>
  </si>
  <si>
    <t>BHIWANI HARYANA 127027</t>
  </si>
  <si>
    <t>MAN MOHAN</t>
  </si>
  <si>
    <t>HOUSE NO 49 WARD NO 02</t>
  </si>
  <si>
    <t>NEAR ANAJ MANDI SIWANI SIWANI</t>
  </si>
  <si>
    <t>SIWANI</t>
  </si>
  <si>
    <t>GYANESHWAR .</t>
  </si>
  <si>
    <t>GYANESHWAR SO SH VIJENDER</t>
  </si>
  <si>
    <t>SINGH V P O BAPORA DIS II</t>
  </si>
  <si>
    <t>KARUPPASAMY LAKSHMANA PERUMAL</t>
  </si>
  <si>
    <t>403 K MART BUILDING HAMDAN STREET BE</t>
  </si>
  <si>
    <t>HIND LIWA CENTER ABU DHABI UNITED AR</t>
  </si>
  <si>
    <t>AB EMIRATES 127741 ABUDHABIABUDHABI ABUDHABI</t>
  </si>
  <si>
    <t>SONIPAT</t>
  </si>
  <si>
    <t>Gaurav Wadhwa</t>
  </si>
  <si>
    <t>NEAR GUJARIA HOSPITAL WORD NO</t>
  </si>
  <si>
    <t>13 SONIPAT</t>
  </si>
  <si>
    <t>VIKASH KUMAR</t>
  </si>
  <si>
    <t>H N 328 20 FCI GODAM GANDHI</t>
  </si>
  <si>
    <t>NAGAR GOHANA</t>
  </si>
  <si>
    <t>KARNAL</t>
  </si>
  <si>
    <t>MEGH RAJ</t>
  </si>
  <si>
    <t>NO/54 GAGSINA</t>
  </si>
  <si>
    <t>16 KARNAL</t>
  </si>
  <si>
    <t>AMBALA</t>
  </si>
  <si>
    <t>RAHUL ARORA</t>
  </si>
  <si>
    <t>133 VIDHYA NAGAR</t>
  </si>
  <si>
    <t>NANHERA</t>
  </si>
  <si>
    <t>NEERAJ GAUR .</t>
  </si>
  <si>
    <t>H.NO.634-D NEW INDERPURI WARD</t>
  </si>
  <si>
    <t>NO.13 BLOCK NO.3 AMBALA CANTT</t>
  </si>
  <si>
    <t>TEH-AMBALA DIST-AMBALA</t>
  </si>
  <si>
    <t>BALWINDER KUMAR</t>
  </si>
  <si>
    <t>190 PHASE III</t>
  </si>
  <si>
    <t>JAGGI COLONY</t>
  </si>
  <si>
    <t>.AMBALA (HAR)</t>
  </si>
  <si>
    <t>861361 BALDEV NAGAR BALDEV</t>
  </si>
  <si>
    <t>NAGAR HARYANA</t>
  </si>
  <si>
    <t>PANIPAT</t>
  </si>
  <si>
    <t>KASHMIR SINGH</t>
  </si>
  <si>
    <t>SECTOR 9</t>
  </si>
  <si>
    <t>PANCHKULAHARYANA</t>
  </si>
  <si>
    <t>BHANU CHAUHAN</t>
  </si>
  <si>
    <t>HOUSE NO 527</t>
  </si>
  <si>
    <t>SECTOR 10, PANCHKULA HARYANA</t>
  </si>
  <si>
    <t>VEENA ARORA</t>
  </si>
  <si>
    <t>HOUSE NO 567 308</t>
  </si>
  <si>
    <t>WARD NO 2</t>
  </si>
  <si>
    <t>MODEL COLONYYAMUNANAGAR</t>
  </si>
  <si>
    <t>SUMIT KUMAR SONI</t>
  </si>
  <si>
    <t>H NO 662/13 PATEL NAGAR NEW</t>
  </si>
  <si>
    <t>COLONY HUNUMAN MANDIR TEH</t>
  </si>
  <si>
    <t>THANESAR KURUKSHETRAKURUKSHETRA HARYANA</t>
  </si>
  <si>
    <t>PATIALA</t>
  </si>
  <si>
    <t>SUNIL BANSAL</t>
  </si>
  <si>
    <t>HOUSE NO 105</t>
  </si>
  <si>
    <t>DALIMA VIHAR</t>
  </si>
  <si>
    <t>RAJPURA</t>
  </si>
  <si>
    <t>RENU WALIA</t>
  </si>
  <si>
    <t>H NO 17</t>
  </si>
  <si>
    <t>AMAN PARK</t>
  </si>
  <si>
    <t>FEROZPUR ROAD</t>
  </si>
  <si>
    <t>BHUPINDER PAL SINGH</t>
  </si>
  <si>
    <t>GALI SIKHAN WALI</t>
  </si>
  <si>
    <t>GURUDWARA KALGIDHAR ROAD</t>
  </si>
  <si>
    <t>BHARAT BHUSHAN</t>
  </si>
  <si>
    <t>431/3 FIRST FLOOR COLLEGE ROAD AJIT</t>
  </si>
  <si>
    <t>GALI DANDI SWAMI</t>
  </si>
  <si>
    <t>LUDHIANA PUNJAB</t>
  </si>
  <si>
    <t>HOUSE NO 174/3127/1 STREET NO 8</t>
  </si>
  <si>
    <t>NEAR BUS STAND JAWAGAR NAGAR</t>
  </si>
  <si>
    <t>SANJAY GUPTA HUF .</t>
  </si>
  <si>
    <t>B 34 2363/5 GALI NO 2</t>
  </si>
  <si>
    <t>CHANDER NAGAR OPP CIVIL</t>
  </si>
  <si>
    <t>AMANPREET SINGH</t>
  </si>
  <si>
    <t>V P O BHOURLA</t>
  </si>
  <si>
    <t>PUNJAB</t>
  </si>
  <si>
    <t>HARJIT SINGH</t>
  </si>
  <si>
    <t>888 GALI NO 3 TEHSIL PURA</t>
  </si>
  <si>
    <t>JASBIR SINGH</t>
  </si>
  <si>
    <t>HOUSE NO 271</t>
  </si>
  <si>
    <t>DEFENCE COLONY</t>
  </si>
  <si>
    <t>JALANDHAR CITYPUNJAB</t>
  </si>
  <si>
    <t>HOSHIARPUR</t>
  </si>
  <si>
    <t>GURJIT SINGH</t>
  </si>
  <si>
    <t>House no-535, Ward no-6, Guru Nanak Nagar</t>
  </si>
  <si>
    <t>MULKH RAJ</t>
  </si>
  <si>
    <t>Vill/ Gaggar PO / Hajipur</t>
  </si>
  <si>
    <t>Vill/ Gaggar P.O / Hajipur</t>
  </si>
  <si>
    <t>GEETANJLI SINGLA</t>
  </si>
  <si>
    <t>102 FRIENDS ENCLAVE</t>
  </si>
  <si>
    <t>NEAR URBAN ESTATE PHASE 2</t>
  </si>
  <si>
    <t>PATIALAPUNJAB</t>
  </si>
  <si>
    <t>SHALU SINGLA</t>
  </si>
  <si>
    <t>H.NO. 21</t>
  </si>
  <si>
    <t>DHALIWAL COLONY</t>
  </si>
  <si>
    <t>HEAD POST OFFICE ROAD, PATIALAPUNJAB</t>
  </si>
  <si>
    <t>ANKIT GOYAL</t>
  </si>
  <si>
    <t>CO SHASHOK GOYAL BABA DEEP</t>
  </si>
  <si>
    <t>SINGH NAGAR 4 NEAR POLTARY</t>
  </si>
  <si>
    <t>FARM PATIALA PATIALA PUNJAB</t>
  </si>
  <si>
    <t>JASBIR KAUR</t>
  </si>
  <si>
    <t>H.NO 212AJIT NAGAR</t>
  </si>
  <si>
    <t>TARUN KUMAR</t>
  </si>
  <si>
    <t>S/O RAJINDER HNO 358 STATE BANK STRE</t>
  </si>
  <si>
    <t>ET SAMANA TEHSAMANA DISTT PATIALA SA</t>
  </si>
  <si>
    <t>MANA SAMANA PATIALA PUNJAB147101SAMANA PUNJAB</t>
  </si>
  <si>
    <t>AKUL JINDEL</t>
  </si>
  <si>
    <t>SHRI RAM NAGAR</t>
  </si>
  <si>
    <t>BACKSIDE NIRANKARI BHAWAN</t>
  </si>
  <si>
    <t>NEAR GOVT COLLEGE MALERKOTLASANGRUR</t>
  </si>
  <si>
    <t>MANSA</t>
  </si>
  <si>
    <t>ROHIT .</t>
  </si>
  <si>
    <t>NEAR KALI MATA MANDIR WARD</t>
  </si>
  <si>
    <t>NO 11 MANSA</t>
  </si>
  <si>
    <t>FIROZPUR</t>
  </si>
  <si>
    <t>GAURAV SHARMA</t>
  </si>
  <si>
    <t>GALI GANGA MANDIR FEROZEPUR</t>
  </si>
  <si>
    <t>CITY</t>
  </si>
  <si>
    <t>RAKESH SHARMA</t>
  </si>
  <si>
    <t>H NO - 218,</t>
  </si>
  <si>
    <t>SECTOR - 18,</t>
  </si>
  <si>
    <t>CHANDIGARH,U.T.</t>
  </si>
  <si>
    <t>SANJEEV KUMAR</t>
  </si>
  <si>
    <t>635 AMBEDKAR AWAS YOJNA SECTOR 56</t>
  </si>
  <si>
    <t>PALSORA RUPNAGAR</t>
  </si>
  <si>
    <t>,CHANDIGARH_CHACHANDIGARH,INDIA</t>
  </si>
  <si>
    <t>DIVJOT KAUR</t>
  </si>
  <si>
    <t>HOUSE NO. 1668 PHASE-10</t>
  </si>
  <si>
    <t>SECTOR-64 S.A.S NAGAR (MOHALI)</t>
  </si>
  <si>
    <t>SAS NAGAR (MOHALI) SECTOR 62</t>
  </si>
  <si>
    <t>ANUPAM KUMAR SHARMA</t>
  </si>
  <si>
    <t>UTTAM NIWAS KAINTH ESTATE</t>
  </si>
  <si>
    <t>PHAGLI</t>
  </si>
  <si>
    <t>SHIMLA</t>
  </si>
  <si>
    <t>CHETAN SHARMA</t>
  </si>
  <si>
    <t>TEHSIL THEOG FAGU 386 FAGU</t>
  </si>
  <si>
    <t>SIRMAUR</t>
  </si>
  <si>
    <t>Dhirendra Singh Pawar</t>
  </si>
  <si>
    <t>No 248/6 Naya Bazaar</t>
  </si>
  <si>
    <t>Near Pwd Rest House</t>
  </si>
  <si>
    <t>NAHAN (T)</t>
  </si>
  <si>
    <t>ANKUSH SHARMA</t>
  </si>
  <si>
    <t>PARWATI NIWAS NEAR PRIMARY</t>
  </si>
  <si>
    <t>SCHOOL CHAMBAGHAT SOLAN</t>
  </si>
  <si>
    <t>SOLAN HIMACHAL PRADESH</t>
  </si>
  <si>
    <t>HAMIRPUR</t>
  </si>
  <si>
    <t>AMIT KUMAR</t>
  </si>
  <si>
    <t>38EO,TEEKA-BASSI,TEH BHORANJ</t>
  </si>
  <si>
    <t>DISTT HAMIRPUR</t>
  </si>
  <si>
    <t>NR ABROL MADICAL STORE</t>
  </si>
  <si>
    <t>HAMIRPUR(HP)</t>
  </si>
  <si>
    <t>SAKSHI JAMWAL</t>
  </si>
  <si>
    <t>NEAR COPY FOCTORY BHARNANG</t>
  </si>
  <si>
    <t>4612 HAMIRPUR HIMACHAL</t>
  </si>
  <si>
    <t>PRADESH</t>
  </si>
  <si>
    <t>RAJAN KUMAR ARORA</t>
  </si>
  <si>
    <t>H.NO.7B,</t>
  </si>
  <si>
    <t>OM NAGAR, UDAYWALA,</t>
  </si>
  <si>
    <t>JAMMUJAMMU AND KASHMIR</t>
  </si>
  <si>
    <t>VEENA MADAAN</t>
  </si>
  <si>
    <t>H.NO.104,</t>
  </si>
  <si>
    <t>AHATA BANWARI LAL,</t>
  </si>
  <si>
    <t>TURAB NAGAR, GHAZIABAD,UTTAR PRADESH</t>
  </si>
  <si>
    <t>AASTHA GUPTA</t>
  </si>
  <si>
    <t>H. NO. S.H-218 SHASTRI NAGAR KAVI</t>
  </si>
  <si>
    <t>NAGAR NEAR ST. MARY SCHOOL</t>
  </si>
  <si>
    <t>GHAZIABAD UTTAR PRADESH</t>
  </si>
  <si>
    <t>NEETA SINGH</t>
  </si>
  <si>
    <t>480 KRISHNA NAGAR BAGU 2</t>
  </si>
  <si>
    <t>UTTER PRADESH</t>
  </si>
  <si>
    <t>ELECTRICAL TRAINING CENTER</t>
  </si>
  <si>
    <t>NORTHAN RLY NEAR CHIPIYANA</t>
  </si>
  <si>
    <t>RAILWAY CROSSING LALKUANGHAZIABAD</t>
  </si>
  <si>
    <t>TARAK NATH GAUTAM</t>
  </si>
  <si>
    <t>FLAT NO- G-2, PLOT NO- 856, INDRAPURAM NITI KHAND-1 IND</t>
  </si>
  <si>
    <t>OPP- ORANGE COUNTY</t>
  </si>
  <si>
    <t>V LATHA</t>
  </si>
  <si>
    <t>16/260</t>
  </si>
  <si>
    <t>VASUNDHARA</t>
  </si>
  <si>
    <t>NITIMA SINGH</t>
  </si>
  <si>
    <t>H.No.627 Duplex</t>
  </si>
  <si>
    <t>Sec 1 Vasundhara Ghaziabad</t>
  </si>
  <si>
    <t>NEERAJ KHARE</t>
  </si>
  <si>
    <t>Iwai</t>
  </si>
  <si>
    <t>A 13</t>
  </si>
  <si>
    <t>Sector 1 Noida</t>
  </si>
  <si>
    <t>Ghaziabad</t>
  </si>
  <si>
    <t>PRADYUMNA KUMAR BUDHOLIYA</t>
  </si>
  <si>
    <t>HOUSE NUMBER E 101 1ST FLOOR</t>
  </si>
  <si>
    <t>AMRAPALI ZODIAC SECTOR 120</t>
  </si>
  <si>
    <t>NOIDA NOIDA GAUTAM BUDDHA NGR NOIDANOIDA UTTAR PRADESH</t>
  </si>
  <si>
    <t>BRIJENDRA PAL SINGH</t>
  </si>
  <si>
    <t>GALI NO 22 SADARPUR SOM</t>
  </si>
  <si>
    <t>MARKET SEC 44</t>
  </si>
  <si>
    <t>LIBI JACOB OOMMEN</t>
  </si>
  <si>
    <t>V-14 GROUND FLOOR SECTOR 12</t>
  </si>
  <si>
    <t>NOIDA UTTAR PRADESH</t>
  </si>
  <si>
    <t>GAUTAM BUDDHA NAGAR</t>
  </si>
  <si>
    <t>RAVINDRA KUMAR .</t>
  </si>
  <si>
    <t>NOIDA SECTOR-128 SULTANPUR</t>
  </si>
  <si>
    <t>GEJHA GAUTAM BUDDHA NAGAR</t>
  </si>
  <si>
    <t>AMAR KISHOR</t>
  </si>
  <si>
    <t>SHARDA UNIVERSITY PLOT NO 32 34</t>
  </si>
  <si>
    <t>KNOWLEDGE PARK III</t>
  </si>
  <si>
    <t>GREATER NOIDA</t>
  </si>
  <si>
    <t>BULANDSHAHR</t>
  </si>
  <si>
    <t>Anjali Sharma</t>
  </si>
  <si>
    <t>H NO. 422/15 BULANDSHAHR</t>
  </si>
  <si>
    <t>KAILASHPURI BULANDSHAHR</t>
  </si>
  <si>
    <t>ETAH</t>
  </si>
  <si>
    <t>NISHANT .</t>
  </si>
  <si>
    <t>MOHALLA JAI JAI RAM SAHAWAR</t>
  </si>
  <si>
    <t>GATE KASGANJ</t>
  </si>
  <si>
    <t>OM LATA SRIVASTAVA</t>
  </si>
  <si>
    <t>12/36/98</t>
  </si>
  <si>
    <t>12 GWALTOLI</t>
  </si>
  <si>
    <t>OPPOSITE DR LAKHAN DIXIT CLINICKANPUR UTTAR PRADESH</t>
  </si>
  <si>
    <t>KANPUR</t>
  </si>
  <si>
    <t>MANISH KUMAR AWADH SHUKLA</t>
  </si>
  <si>
    <t>H.NO.71, YASHODA NAGAR 128 M. BLOCK NEAR MANAS MANDIR</t>
  </si>
  <si>
    <t>JABALPUR</t>
  </si>
  <si>
    <t>ANIL KUMAR MAURYA</t>
  </si>
  <si>
    <t>ROOM NO A/8 ROAD NO 4</t>
  </si>
  <si>
    <t>NARENDRA CHAWL</t>
  </si>
  <si>
    <t>JUCHANDRA NAIGAON EASTVASAI PALGHAR</t>
  </si>
  <si>
    <t>KANPUR NAGAR</t>
  </si>
  <si>
    <t>NITISH SINGH</t>
  </si>
  <si>
    <t>CO NIRANJAN SINGH D168 D</t>
  </si>
  <si>
    <t>BLOCK AMAN ENCLAVE SHATABDI</t>
  </si>
  <si>
    <t>NAGAR PHASE2 PANKI KANPUR</t>
  </si>
  <si>
    <t>JHANSI</t>
  </si>
  <si>
    <t>KANNAUJ</t>
  </si>
  <si>
    <t>AKSHAT CHATURVEDI</t>
  </si>
  <si>
    <t>SO SUNIL CHATURVEDI</t>
  </si>
  <si>
    <t>GOSAIDASPUR KUSUMKHOR BANGER</t>
  </si>
  <si>
    <t>KANNAUJ UTTAR PRADESH</t>
  </si>
  <si>
    <t>ALLAHABAD</t>
  </si>
  <si>
    <t>PRADEEP KUMAR PANDEY</t>
  </si>
  <si>
    <t>S/OSurya Narayan Pandey 118/27/2Dbhulai ka pura,</t>
  </si>
  <si>
    <t>govind pur (teliyar gunjbhulai ka puragovind pur</t>
  </si>
  <si>
    <t>(teliyar gunjbhulai ka puragovind pur (teliyar gunjbhul</t>
  </si>
  <si>
    <t>SANDEEP PANDEY</t>
  </si>
  <si>
    <t>34/2 E W Sgovindpur colony ALLAHABAD</t>
  </si>
  <si>
    <t>YOGENDRA KUMAR KHURANA .</t>
  </si>
  <si>
    <t>NO 67 D</t>
  </si>
  <si>
    <t>GURUNANAK NAGAR</t>
  </si>
  <si>
    <t>NAINI</t>
  </si>
  <si>
    <t>RAVI PRAKASH SINGH</t>
  </si>
  <si>
    <t>SO HARI NARAYAN SINGH 44</t>
  </si>
  <si>
    <t>TRIVENI NAGAR NAINI</t>
  </si>
  <si>
    <t>ALLAHABAD UTTAR PRADESH</t>
  </si>
  <si>
    <t>MANDRESH PRATAP SINGH</t>
  </si>
  <si>
    <t>2 11 AVASI COLONY MANDI SAMITI</t>
  </si>
  <si>
    <t>MUNDERA</t>
  </si>
  <si>
    <t>ALLAHABADALLAHABAD UTTAR PRADESH</t>
  </si>
  <si>
    <t>ANAND KUMAR SAHU</t>
  </si>
  <si>
    <t>C/O VINOD KUMAR SAHU CHILLA,</t>
  </si>
  <si>
    <t>SHAHBAJI SAYD SARAWAN</t>
  </si>
  <si>
    <t>KAUSHAMBI</t>
  </si>
  <si>
    <t>PO BOX - 216</t>
  </si>
  <si>
    <t>AL FUTTAM GROUP - MOTERS</t>
  </si>
  <si>
    <t>RAS AL KHAIMA</t>
  </si>
  <si>
    <t>A KHAIMA</t>
  </si>
  <si>
    <t>G T ROAD</t>
  </si>
  <si>
    <t>RAJAT SUBHAM</t>
  </si>
  <si>
    <t>N 16/132 VINAYAKA</t>
  </si>
  <si>
    <t>KAMACHHA</t>
  </si>
  <si>
    <t>SUNIL JAISWAL</t>
  </si>
  <si>
    <t>A5/36 MUKEEM GANJ ADAMPUR</t>
  </si>
  <si>
    <t>GAURAV DUBEY</t>
  </si>
  <si>
    <t>51/77B CHUPPEPUR CENTRAL JAIL</t>
  </si>
  <si>
    <t>ROAD CANT VARANASHI AWADH</t>
  </si>
  <si>
    <t>ARARTMENTVARANASI UTTAR PRADESH</t>
  </si>
  <si>
    <t>VINAY PRATAP SINGH</t>
  </si>
  <si>
    <t>SA2415 B3 PANDEYPUR</t>
  </si>
  <si>
    <t>PAWAN CHANDRABHUSHAN SHUKLA</t>
  </si>
  <si>
    <t>36 TULSIKALA BHADOHI DHANTULSI</t>
  </si>
  <si>
    <t>UPARWAR SANT RAVIDAS NAGAR</t>
  </si>
  <si>
    <t>SANT RAVIDAS NAGARSANT RAVIDAS NAGAR UTTAR PRADESH</t>
  </si>
  <si>
    <t>SURAJ KUMAR KAUSHAL</t>
  </si>
  <si>
    <t>SRIPUR DHOWAHA</t>
  </si>
  <si>
    <t>JAUNPUR</t>
  </si>
  <si>
    <t>AMAN VERMA</t>
  </si>
  <si>
    <t>H NO148</t>
  </si>
  <si>
    <t>MARIAHU DILAWARPURMARIAHU</t>
  </si>
  <si>
    <t>Mohammad Ahad</t>
  </si>
  <si>
    <t>61 BHATAHAR BHATAHAR</t>
  </si>
  <si>
    <t>FAIZABAD</t>
  </si>
  <si>
    <t>AMARDEEP .</t>
  </si>
  <si>
    <t>ALIGARH RATHHAWELI FAIZABAD</t>
  </si>
  <si>
    <t>BARABANKI</t>
  </si>
  <si>
    <t>SATYAM PAL</t>
  </si>
  <si>
    <t>GULARIYA GARDA G 314 MAZAR KE</t>
  </si>
  <si>
    <t>SAME NAWABGANJ</t>
  </si>
  <si>
    <t>NAIBEDYA CHATTOPADHYAY</t>
  </si>
  <si>
    <t>C 202 ROYAL ESTATE</t>
  </si>
  <si>
    <t>SHAH NAJAF ROAD</t>
  </si>
  <si>
    <t>LOVELY SHUKLA</t>
  </si>
  <si>
    <t>6c/339 Vrindavan Colony Rai Bareli Road</t>
  </si>
  <si>
    <t>Vrindavan Colony - Rai Bareli Road</t>
  </si>
  <si>
    <t>VIMAL KUMAR SAHU</t>
  </si>
  <si>
    <t>252/79 NEHRU CROSS</t>
  </si>
  <si>
    <t>AHMED HUSSAIN KHAN</t>
  </si>
  <si>
    <t>3 252 A GOMTINAGAR VINAY</t>
  </si>
  <si>
    <t>KHAND</t>
  </si>
  <si>
    <t>SHIVAM SINGH</t>
  </si>
  <si>
    <t>15/178, SECTOR 15</t>
  </si>
  <si>
    <t>INDIRA NAGAR</t>
  </si>
  <si>
    <t>PRAKASH CHNADRA MISHRA</t>
  </si>
  <si>
    <t>C-723</t>
  </si>
  <si>
    <t>DHARMENDRA KUSHWAHA</t>
  </si>
  <si>
    <t>548 C 132 CHANDRODYA NAGAR</t>
  </si>
  <si>
    <t>RAJAJI PURAM</t>
  </si>
  <si>
    <t>RAMANAND SINGH</t>
  </si>
  <si>
    <t>2/846</t>
  </si>
  <si>
    <t>SEC-H</t>
  </si>
  <si>
    <t>JANKIPURAM</t>
  </si>
  <si>
    <t>SAMIULLAH .</t>
  </si>
  <si>
    <t>SO JAIFULLAH BAG NO03 AWADH</t>
  </si>
  <si>
    <t>VIHAR COLONY KANPUR ROAD</t>
  </si>
  <si>
    <t>MANASNAGAR LUCKNOW UTTAR</t>
  </si>
  <si>
    <t>RAEBARELI</t>
  </si>
  <si>
    <t>VIVEK KUMAR SINGH</t>
  </si>
  <si>
    <t>S O RAVINDRA BAHADUR SINGH</t>
  </si>
  <si>
    <t>VILL DHOBHA POST JAGATPUR</t>
  </si>
  <si>
    <t>UNCHAHAR RAE BARELI</t>
  </si>
  <si>
    <t>VINOD KUMAR</t>
  </si>
  <si>
    <t>MOH PAVAN BIHAR NEAR RUHELKHND</t>
  </si>
  <si>
    <t>UNIVARCITY BAREILLY</t>
  </si>
  <si>
    <t>RAJENDRA NAGAR</t>
  </si>
  <si>
    <t>REEMA JOHRI</t>
  </si>
  <si>
    <t>C-285</t>
  </si>
  <si>
    <t>NAGENDRA PANDEY</t>
  </si>
  <si>
    <t>, Ballam Street Ballam Street Shiv Mandir, Mandi</t>
  </si>
  <si>
    <t>Chowk Ballam Street</t>
  </si>
  <si>
    <t>DUSHYANT SINGH</t>
  </si>
  <si>
    <t>VILLAGE ZEERKHI</t>
  </si>
  <si>
    <t>village zeerkhi</t>
  </si>
  <si>
    <t>AMROHA</t>
  </si>
  <si>
    <t>BIJNOR</t>
  </si>
  <si>
    <t>GURJAS KAUR HORA</t>
  </si>
  <si>
    <t>Arya Samaj Ke Pass MoSahuwan</t>
  </si>
  <si>
    <t>KULWINDER KAUR</t>
  </si>
  <si>
    <t>167-KHURBURA MOHALLA</t>
  </si>
  <si>
    <t>BLOCK-1 DEHRA DUN</t>
  </si>
  <si>
    <t>DEHRA DUN</t>
  </si>
  <si>
    <t>ANUPAM RAWAT</t>
  </si>
  <si>
    <t>, vill-po-nakronda vill-po-nakronda 26 dd tubewell</t>
  </si>
  <si>
    <t>gullar ghati road vill-po-nakronda</t>
  </si>
  <si>
    <t>AJAY PAL</t>
  </si>
  <si>
    <t>190 SHIMLA BY PASS ROAD</t>
  </si>
  <si>
    <t>SHISHAMBADA</t>
  </si>
  <si>
    <t>SHERPUR DEHRADUNUTTARAKHAND</t>
  </si>
  <si>
    <t>ROHIT BATHLA</t>
  </si>
  <si>
    <t>A-100</t>
  </si>
  <si>
    <t>GANGA GREEN CITY</t>
  </si>
  <si>
    <t>MAWANA ROAD</t>
  </si>
  <si>
    <t>MAYANK GUPTA</t>
  </si>
  <si>
    <t>95 212 GUPTA COLONY MEERUT</t>
  </si>
  <si>
    <t>ASHISH KUMAR VERMA</t>
  </si>
  <si>
    <t>377 I BLOCK GANGA NAGAR</t>
  </si>
  <si>
    <t>DR RAJENDRA KUMAR AGARWAL</t>
  </si>
  <si>
    <t>D9-10 DAMODAR COLONY</t>
  </si>
  <si>
    <t>GARH ROAD BEHIND</t>
  </si>
  <si>
    <t>ANAND HOSPITALMEERUT,UTTAR PRADESH</t>
  </si>
  <si>
    <t>AVNEESH KUMAR</t>
  </si>
  <si>
    <t>A 10 MADHUR VIHAR</t>
  </si>
  <si>
    <t>PALLAVPURAMMODIPURAM MEERUT</t>
  </si>
  <si>
    <t>BELLARY</t>
  </si>
  <si>
    <t>MUZAFFARNAGAR</t>
  </si>
  <si>
    <t>MATHAN SINGH</t>
  </si>
  <si>
    <t>S/O TEJVEER SINGH S/O TEJVEER</t>
  </si>
  <si>
    <t>SINGH FAHIMPUR KHURD</t>
  </si>
  <si>
    <t>SITAPUR</t>
  </si>
  <si>
    <t>ASHTOSH TRIPATHI</t>
  </si>
  <si>
    <t>H NO 88 LASHKARPUR AG</t>
  </si>
  <si>
    <t>TEH BISWAN DIST SITAPUR</t>
  </si>
  <si>
    <t>NEAR RAILWAY STATION</t>
  </si>
  <si>
    <t>PRAGATI AGARWAL</t>
  </si>
  <si>
    <t>115 MAYA PRASAD ROAD KASHI</t>
  </si>
  <si>
    <t>NAGAR LAKHIMPUR</t>
  </si>
  <si>
    <t>LAKHIMPUR KHERI</t>
  </si>
  <si>
    <t>RATNESH KUMAR SINHA</t>
  </si>
  <si>
    <t>C/903, MADHUSUDAN HOMES</t>
  </si>
  <si>
    <t>JAIL ROAD, SHAHPUR</t>
  </si>
  <si>
    <t>GORAKHPURUTTAR PRADESH</t>
  </si>
  <si>
    <t>SAWAN KUMAR GUPTA</t>
  </si>
  <si>
    <t>NORTH JATEPUR</t>
  </si>
  <si>
    <t>KALI MANDIR</t>
  </si>
  <si>
    <t>NULLGORAKHPUR UTTAR PRADESH</t>
  </si>
  <si>
    <t>Manish Kumar</t>
  </si>
  <si>
    <t>GONGHAT</t>
  </si>
  <si>
    <t>KUSHINAGAR</t>
  </si>
  <si>
    <t>ABUL HASAN</t>
  </si>
  <si>
    <t>BHARSAR KHAS</t>
  </si>
  <si>
    <t>ALWAR</t>
  </si>
  <si>
    <t>DEORIA</t>
  </si>
  <si>
    <t>VICKY BHASHKAR</t>
  </si>
  <si>
    <t>S O SURESH PRASAD</t>
  </si>
  <si>
    <t>MALICHAPAR, BHATPAR RANI</t>
  </si>
  <si>
    <t>DEORIA, UTTAR PRADESH</t>
  </si>
  <si>
    <t>KRISHNA KUMAR VERMA</t>
  </si>
  <si>
    <t>201, PURANI KOTWALI ASIFGANJ</t>
  </si>
  <si>
    <t>BALLIA</t>
  </si>
  <si>
    <t>SANGEETA VERMA</t>
  </si>
  <si>
    <t>WO SANJAY SHRI NAGAR BALLIA</t>
  </si>
  <si>
    <t>MATHURA</t>
  </si>
  <si>
    <t>GOPALPRASAD DUBEY</t>
  </si>
  <si>
    <t>S/O SUNDAR LAL DUBEY,120</t>
  </si>
  <si>
    <t>NIMBARK BAAG, NEAR ROHTAK</t>
  </si>
  <si>
    <t>VALI VRINDAVAN BANGAR</t>
  </si>
  <si>
    <t>AGRA</t>
  </si>
  <si>
    <t>MANU ANAND .</t>
  </si>
  <si>
    <t>37 BHARATPUR HOUSE</t>
  </si>
  <si>
    <t>NEAR R B S COLLEGE AGRA</t>
  </si>
  <si>
    <t>AGRA UTTAR PRADESH</t>
  </si>
  <si>
    <t>AMAN AGARWAL</t>
  </si>
  <si>
    <t>House Number-F-348, Kamla Nagar Kamla Nagar</t>
  </si>
  <si>
    <t>VARSHA DIALANI</t>
  </si>
  <si>
    <t>F 105</t>
  </si>
  <si>
    <t>KAMLA NAGAR BLOCK FO</t>
  </si>
  <si>
    <t>SAURABH SRIVAS</t>
  </si>
  <si>
    <t>SO BABURAM PRATAP LALITPUR</t>
  </si>
  <si>
    <t>ROAD HANSARI JHANSI HANSARI</t>
  </si>
  <si>
    <t>JHANSI UTTAR PRADESH</t>
  </si>
  <si>
    <t>VIKAS GARG</t>
  </si>
  <si>
    <t>H NO 18 424 SADAR THANA ROAD</t>
  </si>
  <si>
    <t>Partik Yadav</t>
  </si>
  <si>
    <t>NEAR PATROL PUMP TIJARA</t>
  </si>
  <si>
    <t>JITENDRA BHARTI</t>
  </si>
  <si>
    <t>RAM SHARAN, 9, KISHAN KUTIR SITARAMP</t>
  </si>
  <si>
    <t>URI AMER ROADBRAHMPURI JAIPUR RAJAST</t>
  </si>
  <si>
    <t>HANRAJASTHANJAIPUR RAJASTHAN</t>
  </si>
  <si>
    <t>JAIPUR</t>
  </si>
  <si>
    <t>MOHIT GUPTA</t>
  </si>
  <si>
    <t>68 LAXMI NARAYANPURI</t>
  </si>
  <si>
    <t>SURAJPOLE GATE</t>
  </si>
  <si>
    <t>ARUN ARORA</t>
  </si>
  <si>
    <t>3/CHA/24</t>
  </si>
  <si>
    <t>JAWAHAR NAGAR JAIPUR</t>
  </si>
  <si>
    <t>Jaipur</t>
  </si>
  <si>
    <t>RAJ KUMAR DUGAR</t>
  </si>
  <si>
    <t>581 AACHRYA KRIPLANI MARG</t>
  </si>
  <si>
    <t>ADARSH NAGAR</t>
  </si>
  <si>
    <t>KAPIL SHARMA</t>
  </si>
  <si>
    <t>HNO1E BUDHARKO KA BASS</t>
  </si>
  <si>
    <t>JHOTWARA WARD NO 11</t>
  </si>
  <si>
    <t>MUKESH KUMAR VERMA</t>
  </si>
  <si>
    <t>113,SHRI RAM NAGAR-EXT</t>
  </si>
  <si>
    <t>JHOTWARA</t>
  </si>
  <si>
    <t>LATA SHARMA</t>
  </si>
  <si>
    <t>651 GANESH NAGAR</t>
  </si>
  <si>
    <t>HARANATHPURA</t>
  </si>
  <si>
    <t>WARD NO 11</t>
  </si>
  <si>
    <t>RAJENDRA KUMAR AGARWAL</t>
  </si>
  <si>
    <t>25 RANA PRATAP NAGAR</t>
  </si>
  <si>
    <t>JHOTWARA KHATIPURA RD JHOTWARA</t>
  </si>
  <si>
    <t>JAIPURRAJASTHAN</t>
  </si>
  <si>
    <t>RAJASTHAN</t>
  </si>
  <si>
    <t>SUMAN SINGH MEENA</t>
  </si>
  <si>
    <t>S/O Shri Ram Kesh Meena 3/116Bajaj Nagar A.G.</t>
  </si>
  <si>
    <t>Colony Bajaj Nagar Bajaj Nagar Bajaj Nagar</t>
  </si>
  <si>
    <t>RAIGARH</t>
  </si>
  <si>
    <t>DINESH KUMAR JAIN</t>
  </si>
  <si>
    <t>F 1 PLOT NO 28 AUWAN SINGH</t>
  </si>
  <si>
    <t>NAGAR MAHARANI FARM DURGAPURA</t>
  </si>
  <si>
    <t>KAMAL SAINI</t>
  </si>
  <si>
    <t>S O RAJVEER SAINI C 1 BAHUBALI NAGA</t>
  </si>
  <si>
    <t>SANGANER ROAD GOLYAWAS MANSAROVAR J</t>
  </si>
  <si>
    <t>RAJASTHAN 302020</t>
  </si>
  <si>
    <t>PUJA SHISODIA</t>
  </si>
  <si>
    <t>52 18 SIPRAPATH JAIPUR</t>
  </si>
  <si>
    <t>NEERAJ VIRENDRA TYAGI</t>
  </si>
  <si>
    <t>5 PL 3</t>
  </si>
  <si>
    <t>RIICO INDUSTRIAL AREA</t>
  </si>
  <si>
    <t>TONK ROAD SITAPURAJAIPUR</t>
  </si>
  <si>
    <t>PAWAN KUMAR</t>
  </si>
  <si>
    <t>SO DHUNI LAL MEENA BAGAWAS</t>
  </si>
  <si>
    <t>CHAURASI JAIPUR RAJASTHAN</t>
  </si>
  <si>
    <t>AJMER</t>
  </si>
  <si>
    <t>SO KISHAN LAL PRAJAPAT 5</t>
  </si>
  <si>
    <t>SHANTI NAGAR KALU SINGH MUNOT</t>
  </si>
  <si>
    <t>CHORAYA GANESHPURA ROAD BEAWAR</t>
  </si>
  <si>
    <t>PALI</t>
  </si>
  <si>
    <t>PRATAPMAL KHATRI HUF ..</t>
  </si>
  <si>
    <t>VIDHUT COLONY</t>
  </si>
  <si>
    <t>2 RI BIJLIGAR COLONY</t>
  </si>
  <si>
    <t>WARD NO 40</t>
  </si>
  <si>
    <t>BARMER</t>
  </si>
  <si>
    <t>BHERA RAM</t>
  </si>
  <si>
    <t>AKHRIYO KA WAS</t>
  </si>
  <si>
    <t>VPO LAMBIA VIA</t>
  </si>
  <si>
    <t>KHERWA PALI</t>
  </si>
  <si>
    <t>SANJAY BABEL HUF</t>
  </si>
  <si>
    <t>8-B PARASVNATH COLONY</t>
  </si>
  <si>
    <t>KANCHIPURAM OLD BSL ROAD</t>
  </si>
  <si>
    <t>Bhilwara</t>
  </si>
  <si>
    <t>UMA DEVI MUNDRA</t>
  </si>
  <si>
    <t>W/O GOPAL LAL MUNDRA PARASMANI</t>
  </si>
  <si>
    <t>CHEMBAR GANESH MANDIR ROAD</t>
  </si>
  <si>
    <t>GANDHI NAGAR BHILWARABHILWARA RAJASTHAN</t>
  </si>
  <si>
    <t>CHITTORGARH</t>
  </si>
  <si>
    <t>DILIP UPADHYAY</t>
  </si>
  <si>
    <t>MEHTA JI KI GALI BHADSORA</t>
  </si>
  <si>
    <t>BHADSORA</t>
  </si>
  <si>
    <t>ADITYA LASOD</t>
  </si>
  <si>
    <t>S O AJIT LASOD 54 GULAB BAGH</t>
  </si>
  <si>
    <t>JUNA BAZAR CHHOTI SADRI</t>
  </si>
  <si>
    <t>CHHOTI SADRI CHHOTI SADRI</t>
  </si>
  <si>
    <t>CHANDRA KANTA WAHY</t>
  </si>
  <si>
    <t>SHRIKANTA 9 BASERA</t>
  </si>
  <si>
    <t>HSG COLONY BEDLA ROAD</t>
  </si>
  <si>
    <t>UDAIPURUDAIPUR</t>
  </si>
  <si>
    <t>UDAIPUR</t>
  </si>
  <si>
    <t>PRATIK SONI</t>
  </si>
  <si>
    <t>R/O 50 MAGAN KI POLE GHANTA GHAR</t>
  </si>
  <si>
    <t>,UDAIPURRAJASTHAN,INDIA</t>
  </si>
  <si>
    <t>NITIN SHARMA</t>
  </si>
  <si>
    <t>H NO 28 PRATAP COLONY</t>
  </si>
  <si>
    <t>KALKA MATA ROAD</t>
  </si>
  <si>
    <t>DUNGARPUR</t>
  </si>
  <si>
    <t>GIRIJA SHANKER TRIVEDI</t>
  </si>
  <si>
    <t>WARD NO 3 MUKAM POST THANA</t>
  </si>
  <si>
    <t>THANA</t>
  </si>
  <si>
    <t>BHARATPUR</t>
  </si>
  <si>
    <t>MAYA RANI KOTHARI</t>
  </si>
  <si>
    <t>A/176 JAWAHAR NAGAR</t>
  </si>
  <si>
    <t>SHIVANI BOTHRA</t>
  </si>
  <si>
    <t>60 PURAVI BYPASS TH NAGAR</t>
  </si>
  <si>
    <t>DEEG</t>
  </si>
  <si>
    <t>DEVESH KUMAR</t>
  </si>
  <si>
    <t>60 PURANI BY PASS ROAD NAGAR</t>
  </si>
  <si>
    <t>SAWAI MADHOPUR</t>
  </si>
  <si>
    <t>SANGEETA GOYAL</t>
  </si>
  <si>
    <t>W/O SURESH CHANDRA GOYAL</t>
  </si>
  <si>
    <t>HOUSING BOARD ROAD PANCHMUKHI</t>
  </si>
  <si>
    <t>BALAJI KE PASS ALANAPUR RURAL</t>
  </si>
  <si>
    <t>ARUN KUMAR JAIN</t>
  </si>
  <si>
    <t>BAJ BHAWAN</t>
  </si>
  <si>
    <t>MANIHARI MOHALLA</t>
  </si>
  <si>
    <t>CITY ALANPUR RURAL</t>
  </si>
  <si>
    <t>ADITYA AGRAWAL</t>
  </si>
  <si>
    <t>S/O Trilok Agrawal,railway contac</t>
  </si>
  <si>
    <t>tar,sindhi colony,Gangapur,Gangapur,</t>
  </si>
  <si>
    <t>Sawai MadhopurRAJASTHAN</t>
  </si>
  <si>
    <t>ESHAN DHAR</t>
  </si>
  <si>
    <t>H2 49 VIKRAM NAGAR</t>
  </si>
  <si>
    <t>RAWATBHATA</t>
  </si>
  <si>
    <t>SHIVANI MEENA</t>
  </si>
  <si>
    <t>RAM, MANDIR KE PASS SHRI RAM</t>
  </si>
  <si>
    <t>MANDIR, LOCO COLONY</t>
  </si>
  <si>
    <t>ANOKHE LAL</t>
  </si>
  <si>
    <t>HOUSE NO 947 A NEW RAILWAY</t>
  </si>
  <si>
    <t>COLONY KOTA JUNCTION RANGPUR</t>
  </si>
  <si>
    <t>Manuj Prakash Gupta</t>
  </si>
  <si>
    <t>NEAR EMMANUEL SCHOOL 387</t>
  </si>
  <si>
    <t>BHAGWATI BHAWAN DADWARA</t>
  </si>
  <si>
    <t>ARJUNPURA KOTA JN KOTA</t>
  </si>
  <si>
    <t>MOHAMMAD SHOAIB</t>
  </si>
  <si>
    <t>CO MOHAMMAD SALIM ANSARI 489</t>
  </si>
  <si>
    <t>NEW RAJEEV GANDHI NAGAR IL</t>
  </si>
  <si>
    <t>TOWNSHIP VIGYAN NAGAR KOTA</t>
  </si>
  <si>
    <t>ABHISHEK JAIN</t>
  </si>
  <si>
    <t>AYURVEDIC HOSPITAL KE SAMNE</t>
  </si>
  <si>
    <t>WARD 12 KAITHOON LADPURA</t>
  </si>
  <si>
    <t>KAITHOON</t>
  </si>
  <si>
    <t>BANSWARA</t>
  </si>
  <si>
    <t>KARAN JOSHI</t>
  </si>
  <si>
    <t>SO MAHESH CHANDRA JOSHI</t>
  </si>
  <si>
    <t>MOHAN COLONY BANSWARA</t>
  </si>
  <si>
    <t>BANSWARA BANSWARA RAJASTHAN</t>
  </si>
  <si>
    <t>SANSKAR AGRAWAL</t>
  </si>
  <si>
    <t>Bus Stend Ke Pass Kushalgarh</t>
  </si>
  <si>
    <t>MAMAN RAM JANGIR</t>
  </si>
  <si>
    <t>WARD NO 6</t>
  </si>
  <si>
    <t>P O SADULPUR</t>
  </si>
  <si>
    <t>SADULPUR</t>
  </si>
  <si>
    <t>CHURU</t>
  </si>
  <si>
    <t>MUKESH PURI</t>
  </si>
  <si>
    <t>bas stend ke pass</t>
  </si>
  <si>
    <t>KANTA KEWALCHAND SHARMA</t>
  </si>
  <si>
    <t>WARD NO 10</t>
  </si>
  <si>
    <t>VILLAGE GUSAINSAR BERA</t>
  </si>
  <si>
    <t>SRI DUNGAR GARTH , BIKANER</t>
  </si>
  <si>
    <t>SIKAR</t>
  </si>
  <si>
    <t>MANISHA Kanwar</t>
  </si>
  <si>
    <t>C O TANWAR SINGH</t>
  </si>
  <si>
    <t>RAJAS, SIKAR ROROO</t>
  </si>
  <si>
    <t>MUKESH KUMAR SAINI</t>
  </si>
  <si>
    <t>WARD NO 02 LISARIYA SIKAR</t>
  </si>
  <si>
    <t>LISARIYA</t>
  </si>
  <si>
    <t>JHUNJHUNU</t>
  </si>
  <si>
    <t>SANJAY POONIA</t>
  </si>
  <si>
    <t>SO MANIRAM POONIA VK</t>
  </si>
  <si>
    <t>MEMORIAL PUBLIC SCHOOL KISAN</t>
  </si>
  <si>
    <t>COLONY WARD N2 JHUNJHUNUN</t>
  </si>
  <si>
    <t>AMAN .</t>
  </si>
  <si>
    <t>SO RAJ BAHADUR VILLHANSALSAR</t>
  </si>
  <si>
    <t>HANSALSAR JHUNJHUNU</t>
  </si>
  <si>
    <t>BASMANA</t>
  </si>
  <si>
    <t>PRADEEP PATWARI</t>
  </si>
  <si>
    <t>ward no-6</t>
  </si>
  <si>
    <t>BIKANER</t>
  </si>
  <si>
    <t>BALRAM CHOUDHARY</t>
  </si>
  <si>
    <t>WARD NO 28 SHITLA GATE KE</t>
  </si>
  <si>
    <t>BAHAR SHANTI VIDHYA NIKETAN</t>
  </si>
  <si>
    <t>SCHOOL KE PASS</t>
  </si>
  <si>
    <t>TARUN KUMAR AGGARWAL</t>
  </si>
  <si>
    <t>A 03 CHETALI ENCLAVE</t>
  </si>
  <si>
    <t>HANUMAN GARH ROAD</t>
  </si>
  <si>
    <t>GANGANAGAR</t>
  </si>
  <si>
    <t>SRI GANGANAGAR</t>
  </si>
  <si>
    <t>HANUMANGARH</t>
  </si>
  <si>
    <t>JITENDRA .</t>
  </si>
  <si>
    <t>SO NAND RAM WARD NO 04 PALLU</t>
  </si>
  <si>
    <t>HANUMANGARH RAJASTHAN</t>
  </si>
  <si>
    <t>GHANSHYAM SARDA</t>
  </si>
  <si>
    <t>66, KEDAR NATH GHAR KE PASS</t>
  </si>
  <si>
    <t>WARD NO. 16 RAWATSAR</t>
  </si>
  <si>
    <t>Rawatsar</t>
  </si>
  <si>
    <t>REENA RANI</t>
  </si>
  <si>
    <t>149 NEAR PATWAR GHAR 18 JRK</t>
  </si>
  <si>
    <t>AYALKI</t>
  </si>
  <si>
    <t>NAGAUR</t>
  </si>
  <si>
    <t>MUKESH BERA</t>
  </si>
  <si>
    <t>KUMANIYON KA BASS WARD NO</t>
  </si>
  <si>
    <t>05 SILANWAD JAEL NAGAUR</t>
  </si>
  <si>
    <t>LADNU</t>
  </si>
  <si>
    <t>Yashaswi Soni</t>
  </si>
  <si>
    <t>NAYA SHAHAR KUCHAMAN CITY</t>
  </si>
  <si>
    <t>NAWA</t>
  </si>
  <si>
    <t>JODHPUR</t>
  </si>
  <si>
    <t>SHIVANI TAK</t>
  </si>
  <si>
    <t>B-32</t>
  </si>
  <si>
    <t>SARSWATI NAGAR</t>
  </si>
  <si>
    <t>BASNI</t>
  </si>
  <si>
    <t>PRITISH PARIHAR</t>
  </si>
  <si>
    <t>16 BEHIND MAHAMNDIR POLICE</t>
  </si>
  <si>
    <t>STATION JODHPUR KACHERY</t>
  </si>
  <si>
    <t>YASH NANDINI VAISHNAV</t>
  </si>
  <si>
    <t>C O PRAVEEN CHANDRA VAISHNAV ,PLOT</t>
  </si>
  <si>
    <t>NO 22 ASHAPURNA CITY 2ND PHASE PAL</t>
  </si>
  <si>
    <t>ROAD,JODHPURRAJASTHAN,INDIA</t>
  </si>
  <si>
    <t>SWETA JAIN</t>
  </si>
  <si>
    <t>NEAR MEHTA HOSPITAL OPP</t>
  </si>
  <si>
    <t>BHAGAT SINGH CIRCLE BALOTRA</t>
  </si>
  <si>
    <t>RURAL BARMER</t>
  </si>
  <si>
    <t>JALPA RATHI</t>
  </si>
  <si>
    <t>SUNDRA NAGAR</t>
  </si>
  <si>
    <t>STATION ROAD</t>
  </si>
  <si>
    <t>JAISALMER</t>
  </si>
  <si>
    <t>MANGILAL SEWAK</t>
  </si>
  <si>
    <t>MOHTA PADA JAISALMER</t>
  </si>
  <si>
    <t>ANKIT KUMAR</t>
  </si>
  <si>
    <t>RDGF 14 PLOT NO 56 CV SINGH</t>
  </si>
  <si>
    <t>COLONY NEAR PRIYA HOTEL</t>
  </si>
  <si>
    <t>RAJKOT</t>
  </si>
  <si>
    <t>SUBODH RAJNIKANT NANAWATY</t>
  </si>
  <si>
    <t>BHAGVATI KRUPA</t>
  </si>
  <si>
    <t>2 SHAKTI COLONY B/H A G OFFICE</t>
  </si>
  <si>
    <t>RAJESH MAGANBHAI GUJARATI</t>
  </si>
  <si>
    <t>, sant kabir rod 2 sadguru society sheri nanbar 1 sant</t>
  </si>
  <si>
    <t>RATHOD GEETABEN SUMITBHAI</t>
  </si>
  <si>
    <t>VIRPUR JALARAM VIRPUR RAJKOT</t>
  </si>
  <si>
    <t>JAMNAGAR</t>
  </si>
  <si>
    <t>RAVI PRAVINBHAI MARADIA</t>
  </si>
  <si>
    <t>B 12 MUNISUVRAT APPT</t>
  </si>
  <si>
    <t>NRPATEL TRAVELS</t>
  </si>
  <si>
    <t>PANCHESWAR TOWER ROAD</t>
  </si>
  <si>
    <t>DHARA RAVIBHAI MARADIA</t>
  </si>
  <si>
    <t>NO 9 SUKRUT RESIDENCY MANEKNGR</t>
  </si>
  <si>
    <t>MAIN ROAD OPP GANESH COLD</t>
  </si>
  <si>
    <t>STORAGE VICTORIA BRIDGE ROAD</t>
  </si>
  <si>
    <t>JUNAGADH</t>
  </si>
  <si>
    <t>SAGARBHAI RAMESHBHAI GADHIYA</t>
  </si>
  <si>
    <t>PLOT VISTAR TA-VANTHALIRAVNI</t>
  </si>
  <si>
    <t>VANTHALIJUNAGADH</t>
  </si>
  <si>
    <t>JATINKUMAR NAVNEETLAL DHOLAKIA</t>
  </si>
  <si>
    <t>N P DHOLAKIYA P NEAR SHAK MARKET</t>
  </si>
  <si>
    <t>MAIN BAZAR KESHOD</t>
  </si>
  <si>
    <t>TA KESHOD DIST JUNAGADHKESHOD</t>
  </si>
  <si>
    <t>PARSHOTAM LILARAM AHYA</t>
  </si>
  <si>
    <t>A 8 LILASHAH NAGAR</t>
  </si>
  <si>
    <t>NEAR BUS STATION</t>
  </si>
  <si>
    <t>VERAVALVERAVAL</t>
  </si>
  <si>
    <t>MAHETA KARAN JAYESHBHAI</t>
  </si>
  <si>
    <t>BAMANGAM</t>
  </si>
  <si>
    <t>VADAL</t>
  </si>
  <si>
    <t>,JUNAGADH</t>
  </si>
  <si>
    <t>SURENDRANAGAR</t>
  </si>
  <si>
    <t>BHARGAV RAMANIKBHAI MAKWANA</t>
  </si>
  <si>
    <t>bhrugupur bhrugupur makwana street bhrugupur</t>
  </si>
  <si>
    <t>ARJUN R BHADIYADRA</t>
  </si>
  <si>
    <t>BHADEVANI ST OPP MADAN</t>
  </si>
  <si>
    <t>PAREKH DELA</t>
  </si>
  <si>
    <t>BHAVNAGARBHAVNAGAR GUJARAT</t>
  </si>
  <si>
    <t>CHANDRIKA KIRITBHAI SHAH</t>
  </si>
  <si>
    <t>4/6 RUSHABH APPARTMENT , NR</t>
  </si>
  <si>
    <t>MUNIDERI , AERODROME ROAD</t>
  </si>
  <si>
    <t>BHAVNAGAR GUJARAT</t>
  </si>
  <si>
    <t>MAHEKRAJSINH VAGHELA</t>
  </si>
  <si>
    <t>makan no. 16-17/1, bhuj Aashapura nagar bhuj</t>
  </si>
  <si>
    <t>san siti pase</t>
  </si>
  <si>
    <t>BHUJ</t>
  </si>
  <si>
    <t>USHAKIRAN SADGUNBHAI CHRISTIAN</t>
  </si>
  <si>
    <t>F 301 BORSALLI APRT</t>
  </si>
  <si>
    <t>NR PATEL SOCY</t>
  </si>
  <si>
    <t>KHANPUR AHMEDABAD</t>
  </si>
  <si>
    <t>UMESHBHAI INDRAVADAN KANSARA</t>
  </si>
  <si>
    <t>G/6 RANGSAGAR FLATS</t>
  </si>
  <si>
    <t>P T C ROAD</t>
  </si>
  <si>
    <t>NARAYAN NAGAR PALDIAHMEDABAD</t>
  </si>
  <si>
    <t>JEET PARAG SHAH</t>
  </si>
  <si>
    <t>5 B SARVODAY SOCIETY</t>
  </si>
  <si>
    <t>JAWAHAR CHOWK MANINAGAR</t>
  </si>
  <si>
    <t>AHMEDABAD CITY</t>
  </si>
  <si>
    <t>SUBRATA SUSHIL BOSE</t>
  </si>
  <si>
    <t>A FF 8 MEGHASHRYA APARTMENT</t>
  </si>
  <si>
    <t>OPP BALBHAVAN KHOKHRA</t>
  </si>
  <si>
    <t>KAMLESH JAYANTIBHAI RANVA</t>
  </si>
  <si>
    <t>B 12 1 HUDCO FLATS KIRAN PARK</t>
  </si>
  <si>
    <t>RD OPP WATER TANK WADAJ</t>
  </si>
  <si>
    <t>NARANPURA</t>
  </si>
  <si>
    <t>VIRAJ SHAH HUF .</t>
  </si>
  <si>
    <t>A -5 MURDHANYA APPARTMENT</t>
  </si>
  <si>
    <t>OPP A E C NARANPURA AHMEDABAD</t>
  </si>
  <si>
    <t>TIWARI BINODKUMAR P .</t>
  </si>
  <si>
    <t>701/B 7TH FLOOR VASUPUJYA APP.</t>
  </si>
  <si>
    <t>NR.ST.XAVIER LOYALA HALL,</t>
  </si>
  <si>
    <t>NAVARANGPURA</t>
  </si>
  <si>
    <t>AHMEDABD</t>
  </si>
  <si>
    <t>VINODBHAI CHHAGANLAL DHABALIA</t>
  </si>
  <si>
    <t>A/91 PRUTHVI TOWERS</t>
  </si>
  <si>
    <t>B/H ADITYA PLAZA JODHPUR</t>
  </si>
  <si>
    <t>SATELLITE</t>
  </si>
  <si>
    <t>ASHISH JITENDRA JAIN</t>
  </si>
  <si>
    <t>106 TAPOVAN SOCIETY SURENDRA N</t>
  </si>
  <si>
    <t>AGAR RD B/H MANEKBAG HALL AMBA</t>
  </si>
  <si>
    <t>AMBAWADIAHMEDABAD GUJARAT</t>
  </si>
  <si>
    <t>KRUNAL BRIJESH PANDIT</t>
  </si>
  <si>
    <t>101/2424 GHB MEGHANINAGAR TA A</t>
  </si>
  <si>
    <t>HMEDABAD OPP AHISH SOCIETY</t>
  </si>
  <si>
    <t>AHMEDABADAHMEDABAD GUJARAT</t>
  </si>
  <si>
    <t>Anish Verghese</t>
  </si>
  <si>
    <t>708,KARY SHILP TOWER BEHIND R</t>
  </si>
  <si>
    <t>T O OFFICE AHMEDABAD CITY</t>
  </si>
  <si>
    <t>NASIK</t>
  </si>
  <si>
    <t>SHAH PRANJALI ANAND</t>
  </si>
  <si>
    <t>KRISHNAKUNJ BUNGALOW</t>
  </si>
  <si>
    <t>NANDANVAN SOCIETY</t>
  </si>
  <si>
    <t>OPPOSITE CROWNE PLAZA HOTEL</t>
  </si>
  <si>
    <t>SANDEEP ANANTKUMAR JOSHI</t>
  </si>
  <si>
    <t>NO 06 SANSKAR VILLA OPP</t>
  </si>
  <si>
    <t>JALDHARA 4 PRATHANA UPAVAN</t>
  </si>
  <si>
    <t>ROAD MANIPUR SANAND GARODIYA</t>
  </si>
  <si>
    <t>VIKEEBHAI BABUBHAI PATEL</t>
  </si>
  <si>
    <t>B 102 OMAKAR RESIDENCY NEAR</t>
  </si>
  <si>
    <t>KRISHANA PARK, VASTRAL</t>
  </si>
  <si>
    <t>VASTRAL</t>
  </si>
  <si>
    <t>NIRMALA VIJAYKUMAR SHAH</t>
  </si>
  <si>
    <t>C-204, PARMESHWAR -III,</t>
  </si>
  <si>
    <t>BH-SURYAN HOPES TOWN,</t>
  </si>
  <si>
    <t>CHANDKHEDA,</t>
  </si>
  <si>
    <t>GANDHINAGAR</t>
  </si>
  <si>
    <t>BHAVIN CHANDRAVADAN JOSHI</t>
  </si>
  <si>
    <t>L-303 ANAND VIHAR TRAGAD ROAD</t>
  </si>
  <si>
    <t>CHANDKEDA AHMEDABAD</t>
  </si>
  <si>
    <t>AHMEDABAD GUJARAT</t>
  </si>
  <si>
    <t>FENIL PATEL</t>
  </si>
  <si>
    <t>S O AMITKUMAR PATEL ,B 201</t>
  </si>
  <si>
    <t>,AKSHARDHAM APPARTMENT ,AMBIKA CROSS</t>
  </si>
  <si>
    <t>ROAD,AHMEDABADGUJARAT,INDIA</t>
  </si>
  <si>
    <t>GUJARAT</t>
  </si>
  <si>
    <t>B J MODH</t>
  </si>
  <si>
    <t>25 ANUPAM SOCIETY</t>
  </si>
  <si>
    <t>NEAR MAHASHAKTI GROUND</t>
  </si>
  <si>
    <t>SACHINKUMAR DINESHBHAI PATEL</t>
  </si>
  <si>
    <t>NANO MADH</t>
  </si>
  <si>
    <t>BABIPURA MAHESANA</t>
  </si>
  <si>
    <t>BABIPURA</t>
  </si>
  <si>
    <t>JAMNABEN M PATEL</t>
  </si>
  <si>
    <t>74 JAVAHAR SOCIETY</t>
  </si>
  <si>
    <t>VISNAGAR</t>
  </si>
  <si>
    <t>DIST MAHESANAVISNAGAR</t>
  </si>
  <si>
    <t>PANKAJKUMAR GIRISHCHANDRA GAUTAM</t>
  </si>
  <si>
    <t>4 V D PATEL SOCIET NEAR RAILWY</t>
  </si>
  <si>
    <t>STATION UTTARSANDA KHEDA</t>
  </si>
  <si>
    <t>NADIADNADIAD GUJARAT</t>
  </si>
  <si>
    <t>MAHESH BHAGWANDAS DHARMANI</t>
  </si>
  <si>
    <t>278/2, SUBJI MARKET</t>
  </si>
  <si>
    <t>OPP. CIVIL COURT</t>
  </si>
  <si>
    <t>DAHOD</t>
  </si>
  <si>
    <t>MUKESHKUMAR CHUNILAL KATARA</t>
  </si>
  <si>
    <t>H.NO-197, LANE- UPALU FALIYU</t>
  </si>
  <si>
    <t>AREA-ANVARPURA VILL- DHAVADIYA</t>
  </si>
  <si>
    <t>DHAVADIA</t>
  </si>
  <si>
    <t>PANCHMAHAL</t>
  </si>
  <si>
    <t>JAYMATIBEN CHANDRAGOPAL DOSHI</t>
  </si>
  <si>
    <t>GHATI FALIYU</t>
  </si>
  <si>
    <t>LUNAWADA</t>
  </si>
  <si>
    <t>MAHISAGAR</t>
  </si>
  <si>
    <t>VADODARA</t>
  </si>
  <si>
    <t>PRATIK AKSHAYKUMAR GURJAR</t>
  </si>
  <si>
    <t>A-41 RAJRATNA SOCIETY</t>
  </si>
  <si>
    <t>BEHIND BARODA HIGH SCHOOL</t>
  </si>
  <si>
    <t>BAGIKHANA</t>
  </si>
  <si>
    <t>CHIRAG BHARATBHAI MISTRY</t>
  </si>
  <si>
    <t>D24 PRAMUKH VATIKA AHADRA BEHIND</t>
  </si>
  <si>
    <t>HARI OM SOCIETY</t>
  </si>
  <si>
    <t>VADODARA GUJARAT</t>
  </si>
  <si>
    <t>KIMALKUMAR AMRATLAL PATEL</t>
  </si>
  <si>
    <t>17 PANCHRATNA SOCIETY</t>
  </si>
  <si>
    <t>PANCHAVATI GORWA</t>
  </si>
  <si>
    <t>DUNGARMAL R SHAH</t>
  </si>
  <si>
    <t>101 ORCHID GREEN PLOT NO 13/A</t>
  </si>
  <si>
    <t>SHREE NAGAR SOCIETY</t>
  </si>
  <si>
    <t>NEAR SHUBHECHA HOSPITAL AKOTAVADODARA GJ</t>
  </si>
  <si>
    <t>HARIPRATAP V PRASAD</t>
  </si>
  <si>
    <t>D 1 URVASHI DUPLEX</t>
  </si>
  <si>
    <t>R/H SAMTA FLATS</t>
  </si>
  <si>
    <t>SUBHANPURABARODA</t>
  </si>
  <si>
    <t>BHARUCH</t>
  </si>
  <si>
    <t>UPASANA NILESHKUMAR JOSHI</t>
  </si>
  <si>
    <t>C 1065, Bharuch jamiyat ram khadki Bharuch lallubhai</t>
  </si>
  <si>
    <t>chakla</t>
  </si>
  <si>
    <t>MEHTA DHARABEN MINESHKUMAR .</t>
  </si>
  <si>
    <t>407/37 SARDAR PATEL SOCIETY NR</t>
  </si>
  <si>
    <t>SPORT COMPLEX NEW COLONY</t>
  </si>
  <si>
    <t>GIDC ANKLESHWAR ANKLESVAR</t>
  </si>
  <si>
    <t>MYSURU</t>
  </si>
  <si>
    <t>SHEENA P NAIR .</t>
  </si>
  <si>
    <t>A-1/G-1 SURYA KIRAN ENCLAVE</t>
  </si>
  <si>
    <t>PLOT NO-264/1</t>
  </si>
  <si>
    <t>KAPODRA PATIA VALIA ROAD GIDC</t>
  </si>
  <si>
    <t>ANKLESHWAR BHARUCH</t>
  </si>
  <si>
    <t>ANKLESHWAR</t>
  </si>
  <si>
    <t>RAMESH POPATBHAI BHADANI</t>
  </si>
  <si>
    <t>SHIVAM PARK RAW HOUSE</t>
  </si>
  <si>
    <t>PLOT NO 36 CITY LIGHT ROAD</t>
  </si>
  <si>
    <t>MAHADEV CHOWK MOTAVARACHHA</t>
  </si>
  <si>
    <t>ASHISH VAGHANI</t>
  </si>
  <si>
    <t>63 SATYAM RO HOUSE MOTA</t>
  </si>
  <si>
    <t>VRACHHA</t>
  </si>
  <si>
    <t>LAVJIBHAI HARIBHAI BAGADIYA</t>
  </si>
  <si>
    <t>63,GOVARDHAN ROW HOUSE,</t>
  </si>
  <si>
    <t>NR.PRAMUKH PARK SOC,</t>
  </si>
  <si>
    <t>CHAPRA BHATHA</t>
  </si>
  <si>
    <t>HARIHR RAMNATH BRAHMBHATT</t>
  </si>
  <si>
    <t>392 KAILASHNAGAR BEHIND HARINAGAR 3</t>
  </si>
  <si>
    <t>UDHNA SURATCITY SURAT UDHNA GUJARAT</t>
  </si>
  <si>
    <t>394210SURAT GUJARAT</t>
  </si>
  <si>
    <t>KALPNABEN RAJENDRABHAI PAREKH</t>
  </si>
  <si>
    <t>101 CHINMAY COMPLEX SHASTRI ROAD</t>
  </si>
  <si>
    <t>NEAR MAMTA HOSPITAL BARDOLI</t>
  </si>
  <si>
    <t>BARDOLI 394601 BARDOLI BARDOLI SURAT GUJARAT</t>
  </si>
  <si>
    <t>BIMAL HIMATSINGKA</t>
  </si>
  <si>
    <t>303 C NIDHI APPT NR GATWAY HOTEL</t>
  </si>
  <si>
    <t>PARLE POINT</t>
  </si>
  <si>
    <t>SURAT GUJARAT</t>
  </si>
  <si>
    <t>VIKRAM RAMESH SHORI</t>
  </si>
  <si>
    <t>07, AJAY AVAS, ATHWALINES,</t>
  </si>
  <si>
    <t>NR VODAFONE STORE,</t>
  </si>
  <si>
    <t>GHOD DOD ROAD</t>
  </si>
  <si>
    <t>SHOP NO 2024 TO 2026</t>
  </si>
  <si>
    <t>KOHINOOR TEXTILE MARKET</t>
  </si>
  <si>
    <t>B/H INDIA MARKET</t>
  </si>
  <si>
    <t>MAHESHKUMAR VASAVA</t>
  </si>
  <si>
    <t>POSTAL ASISTANT</t>
  </si>
  <si>
    <t>SURAT H P O</t>
  </si>
  <si>
    <t>MAHIDHARPURASURAT</t>
  </si>
  <si>
    <t>DHARMENDRA H PATEL</t>
  </si>
  <si>
    <t>AT POST BARBODHAN</t>
  </si>
  <si>
    <t>TAL OLPAD</t>
  </si>
  <si>
    <t>SANTOSHKUMAR GHOSH</t>
  </si>
  <si>
    <t>C1/206 SAIMILAN RESIDENCY</t>
  </si>
  <si>
    <t>NEAR STUTI HIGH LAND</t>
  </si>
  <si>
    <t>PALANPUR BHESAN</t>
  </si>
  <si>
    <t>SNEHALBEN NARESHBHAI KALTHIYA</t>
  </si>
  <si>
    <t>B 25, BHAGVAN NGR SOC, NANA</t>
  </si>
  <si>
    <t>VARACHHA SARTHANA JAKATNAKA, SURAT</t>
  </si>
  <si>
    <t>CITY,SURAT GUJARAT</t>
  </si>
  <si>
    <t>PAYAL NILKESH PATEL</t>
  </si>
  <si>
    <t>13, SUNDRAM APARTMENT,</t>
  </si>
  <si>
    <t>OPP AFFIL TOWER,</t>
  </si>
  <si>
    <t>L H ROAD,</t>
  </si>
  <si>
    <t>SALMAN MUKTYARBHAI KHAN</t>
  </si>
  <si>
    <t>D-290 VITTHAL NAGAR,</t>
  </si>
  <si>
    <t>HIRA BAUG,</t>
  </si>
  <si>
    <t>VRAJLAL M PANCHANI HUF .</t>
  </si>
  <si>
    <t>PLOT NO A 7 JAY GANGESHWAR SOC</t>
  </si>
  <si>
    <t>NR HIRA BAUG VARACHHA</t>
  </si>
  <si>
    <t>ROAD SURAT</t>
  </si>
  <si>
    <t>SUDHIRKUMAR M KHENI</t>
  </si>
  <si>
    <t>E-222,</t>
  </si>
  <si>
    <t>KAILASH APT,L H ROAD</t>
  </si>
  <si>
    <t>NR HAPPY BUNGLOWS</t>
  </si>
  <si>
    <t>PRIYANKA PAWAN HEDA</t>
  </si>
  <si>
    <t>A 2/801, SWASTIK MAIL STON,</t>
  </si>
  <si>
    <t>NR.S V R SOLLEGE,</t>
  </si>
  <si>
    <t>ESHWAR SARVA SHRI VIDYANATH</t>
  </si>
  <si>
    <t>F 1004 WESTERN SOM CHINTAMANI</t>
  </si>
  <si>
    <t>RESIDENCY PAL HAZIRA ROAD</t>
  </si>
  <si>
    <t>RAJHANS CINEMA SURATGUJARAT</t>
  </si>
  <si>
    <t>HITESH S LAKDAWALA (HUF)</t>
  </si>
  <si>
    <t>A-2,DIVYAJYOTI APPARTMENT,</t>
  </si>
  <si>
    <t>NEAR SARDAR BRIDGE,</t>
  </si>
  <si>
    <t>ADAJAN,</t>
  </si>
  <si>
    <t>HETAL RAMANLAL SHAH</t>
  </si>
  <si>
    <t>7 SIDDHI VINAYAK ROW HOUSE</t>
  </si>
  <si>
    <t>ANAND MAHAL ROAD NR PRIME</t>
  </si>
  <si>
    <t>MARKET ADAJAN SURAT</t>
  </si>
  <si>
    <t>PATEL AKASH VASANTBHAI</t>
  </si>
  <si>
    <t>PATEL FALIYA NEAR JALARAM</t>
  </si>
  <si>
    <t>TEMPLE CHHARWADA VAPI</t>
  </si>
  <si>
    <t>VALSADVAPI GUJARAT</t>
  </si>
  <si>
    <t>DAMAN</t>
  </si>
  <si>
    <t>MOHAMMAD WASIM AKHTAR</t>
  </si>
  <si>
    <t>S/O MOHAMMAD NASIMUDDIN 725/1</t>
  </si>
  <si>
    <t>BANSWARA GARMENTS SANGEETA</t>
  </si>
  <si>
    <t>DHAM COMPLEX NEAR SAVITA FARM</t>
  </si>
  <si>
    <t>GIRISH MOGHABHAI NAIK</t>
  </si>
  <si>
    <t>AT:- KAYA TALAO</t>
  </si>
  <si>
    <t>PO:- AMALSAD</t>
  </si>
  <si>
    <t>BILIMORA</t>
  </si>
  <si>
    <t>NAVSARI</t>
  </si>
  <si>
    <t>URVI PRASHANT PANDYA</t>
  </si>
  <si>
    <t>22/B,JAYSHALI APPTNAGTALAWADI</t>
  </si>
  <si>
    <t>VIKASH KUMAR OMPRAKASH SHARMA</t>
  </si>
  <si>
    <t>MARWARI PANCHAYAT WADI 41 2ND</t>
  </si>
  <si>
    <t>PANJRA POLE CP TANK</t>
  </si>
  <si>
    <t>MANOJKUMAR .</t>
  </si>
  <si>
    <t>CO INS SHIKRA ATC 6TH FLOOR</t>
  </si>
  <si>
    <t>INLIVING BLOCK INS SHIKRA</t>
  </si>
  <si>
    <t>NEAR COLABA FIRE STATION</t>
  </si>
  <si>
    <t>SOPHIE AMEERALI IBRAHIM</t>
  </si>
  <si>
    <t>14, KACHWALA CHAMBERS</t>
  </si>
  <si>
    <t>CLARE ROAD</t>
  </si>
  <si>
    <t>BYCULLA</t>
  </si>
  <si>
    <t>SANDEEP I VARDHAN</t>
  </si>
  <si>
    <t>PRATIKSHA TOWER A 302 R S</t>
  </si>
  <si>
    <t>NIMKAR MARG FARAS ROAD OPP</t>
  </si>
  <si>
    <t>TARDEO BUS DEPOT</t>
  </si>
  <si>
    <t>MOONGIPA ROADWAYS PVT LTD</t>
  </si>
  <si>
    <t>116 MULJI DEVSHI BLDG</t>
  </si>
  <si>
    <t>KESHAVJI NAIK ROAD</t>
  </si>
  <si>
    <t>MASJID BUNDER</t>
  </si>
  <si>
    <t>SRINIVAS SHANKARAIAH NYALAPELLI</t>
  </si>
  <si>
    <t>ROOM NO.80</t>
  </si>
  <si>
    <t>OPP.WORLI B.D.D. CHAWL NO.105</t>
  </si>
  <si>
    <t>NEHRU NAGAR, WORLI</t>
  </si>
  <si>
    <t>PRAMOD SAKHARAM YEJARE</t>
  </si>
  <si>
    <t>ROOM NO 26 CHAWL NO 4 VANI</t>
  </si>
  <si>
    <t>CHAWL N M JOSHI MARG</t>
  </si>
  <si>
    <t>NEARPODDAR MILL CURRY ROAD</t>
  </si>
  <si>
    <t>AKASH PURUSHOTTAM WANI</t>
  </si>
  <si>
    <t>YES BANK LTD IFC TOWER 2</t>
  </si>
  <si>
    <t>FLOOR 17 SENAPATI BAPAT MARG</t>
  </si>
  <si>
    <t>ELPHINSTONE WEST</t>
  </si>
  <si>
    <t>K C MAKHIJA HUF</t>
  </si>
  <si>
    <t>SHOP NO 8,9 GRD FLOOR</t>
  </si>
  <si>
    <t>KOLI SAMAJ KOLIWADA RD</t>
  </si>
  <si>
    <t>BLDG NO 2 SEWREE MUMBAIMAHARASHTRA</t>
  </si>
  <si>
    <t>MAHARASHTRA</t>
  </si>
  <si>
    <t>MADHU B TOLANI</t>
  </si>
  <si>
    <t>315 15TH FLR SHALAKA SANGH CHS LT</t>
  </si>
  <si>
    <t>9/QUEEN BARRACK AREA</t>
  </si>
  <si>
    <t>M K RD COOPERAGEMUMBAI MAHARASHTRA INDIA</t>
  </si>
  <si>
    <t>KAMALJIT BHATIA</t>
  </si>
  <si>
    <t>KAMALJIT BHATIA KIRIT BLDG</t>
  </si>
  <si>
    <t>31 2ND FLOOR DR V B GANDHI MARG</t>
  </si>
  <si>
    <t>FORT MUMBAIMUMBAI</t>
  </si>
  <si>
    <t>REKHA UMESH DABHOLKAR .</t>
  </si>
  <si>
    <t>RM NO 25 ALBION PALACE 2ND FLR</t>
  </si>
  <si>
    <t>SANT SAWATA MARG OPP HERITAGE</t>
  </si>
  <si>
    <t>HOTEL V J BHOSLE UDYAN BYCULLA</t>
  </si>
  <si>
    <t>MAYURESH SURENDRA KAPOTE</t>
  </si>
  <si>
    <t>10 10KHANDKE BUILDINGN C</t>
  </si>
  <si>
    <t>KELKAR ROAD</t>
  </si>
  <si>
    <t>SUPRIYA SUMEET CHAVAN</t>
  </si>
  <si>
    <t>CHANDIKADEVI SOC 369 27</t>
  </si>
  <si>
    <t>GD AMBEKAR MARG KALEWADI</t>
  </si>
  <si>
    <t>NR TATA CLY PAREL VILL</t>
  </si>
  <si>
    <t>MOHAMMAD KAUNAIN MOHAMMAD RASHID SHAIKH</t>
  </si>
  <si>
    <t>Sanjay Nagar Road No-9/10, Govandi Adarsha Mitra Mandal</t>
  </si>
  <si>
    <t>ANWAR HABIB MILLWALLA</t>
  </si>
  <si>
    <t>SANGEETA APARTMENT</t>
  </si>
  <si>
    <t>JUHU TARA ROAD</t>
  </si>
  <si>
    <t>KHETAN SNEHAL</t>
  </si>
  <si>
    <t>PLOT 55 4ST FLOOR NS 7 GOVIND VIHAR JVPD GU</t>
  </si>
  <si>
    <t>MUMBAI SUBURBAN</t>
  </si>
  <si>
    <t>JYOTI RAMESH SARODE</t>
  </si>
  <si>
    <t>A/23 Hardik Chs Plot No 98 Sup Nagar Mhada Nr</t>
  </si>
  <si>
    <t>Kokilaben Hosp 4 Bunglows Andheri W</t>
  </si>
  <si>
    <t>NAFE ALI KHAN</t>
  </si>
  <si>
    <t>PLTNO 40 FORTH FLR 24B SAINIK</t>
  </si>
  <si>
    <t>NAGAR I VEERA DESAI ANDHERI W</t>
  </si>
  <si>
    <t>MUMBAI MAHARASHTRA</t>
  </si>
  <si>
    <t>PRATIM ACHARYA .</t>
  </si>
  <si>
    <t>C 2 3 JEEVAN SHANTI LIC</t>
  </si>
  <si>
    <t>COLONY S V ROAD OPP SANTACRUZ</t>
  </si>
  <si>
    <t>BAS DEPOT W MUMBAI</t>
  </si>
  <si>
    <t>MEETA BHATIA</t>
  </si>
  <si>
    <t>B 45 ANAND NAGAR</t>
  </si>
  <si>
    <t>SANTOSH SHETTY</t>
  </si>
  <si>
    <t>PRABHAT COLONY ROOM NO 2</t>
  </si>
  <si>
    <t>M K CHAWL SANTACRUZ EAST</t>
  </si>
  <si>
    <t>TAUSIF HUSEIN IRSHAD HUSEIN KHAN</t>
  </si>
  <si>
    <t>31/11 SHAFI MANZIL</t>
  </si>
  <si>
    <t>NEHRU RD</t>
  </si>
  <si>
    <t>SANTACRUZ (E)</t>
  </si>
  <si>
    <t>SALMAN KHAN</t>
  </si>
  <si>
    <t>ROOM NO 3 JUMMA KHAN CHAWL</t>
  </si>
  <si>
    <t>MASJID GALLI GOLIBAR</t>
  </si>
  <si>
    <t>SANTACRUZ EMUMBAI</t>
  </si>
  <si>
    <t>M THENAPPAN</t>
  </si>
  <si>
    <t>I 203,SATELLITE GARDENS PHASE,2</t>
  </si>
  <si>
    <t>D 1, FILM CITY ROAD,GOREGAON</t>
  </si>
  <si>
    <t>,MUMBAIMAHARASHTRA,INDIA</t>
  </si>
  <si>
    <t>PRASAD NAIR</t>
  </si>
  <si>
    <t>NO-1/16 BAJAL APT</t>
  </si>
  <si>
    <t>OFF MARVE ROAD</t>
  </si>
  <si>
    <t>MALAD WESTMUMBAI MAHARASHTRA</t>
  </si>
  <si>
    <t>VIDYA RAGHUNATH JADHAV</t>
  </si>
  <si>
    <t>H WARD,ROOM NO-98,B.M.C COLONY,EKTA VIKAS MANDAL,</t>
  </si>
  <si>
    <t>GEN.ARUN KUMAR VAIDYA MARG BEHIND JYOTI HOTEL,</t>
  </si>
  <si>
    <t>SANTOSH NAGAR, GOREGAON EAST MUMBAI</t>
  </si>
  <si>
    <t>SURAJ SANTRAJ MAURYA</t>
  </si>
  <si>
    <t>ROOM, NO 381 NAGIN SOMA</t>
  </si>
  <si>
    <t>BHAGAT, CHAWL M G, CROSS</t>
  </si>
  <si>
    <t>ROAD NO 9 SUKARWADI,</t>
  </si>
  <si>
    <t>VITTHALDAS UMEDRAM BRAHMAKSHATRI</t>
  </si>
  <si>
    <t>A-1/203, SIDDHARTH NAGAR,</t>
  </si>
  <si>
    <t>KHATAU MILL COMPOUND</t>
  </si>
  <si>
    <t>RUPESH MAHENDRANATH MISHRA</t>
  </si>
  <si>
    <t>JANPRIYA SOCIETY DURGA MATA</t>
  </si>
  <si>
    <t>MANDIR ROAD NEAR MITHILA</t>
  </si>
  <si>
    <t>HANUMAN MANDIR GANESH NAGAR</t>
  </si>
  <si>
    <t>MANOHAR KANU CHOUGULE</t>
  </si>
  <si>
    <t>ROOM NO 5, JANASKAR CHAWL M G</t>
  </si>
  <si>
    <t>ROAD NEAR RAMAKRISHNA</t>
  </si>
  <si>
    <t>SHIKSHAN MANDAL NARAVANE WADI</t>
  </si>
  <si>
    <t>NEHA VIJAY SHARMA</t>
  </si>
  <si>
    <t>B/401 SAHDEV NL COMPLEX</t>
  </si>
  <si>
    <t>ANAND NAGAR</t>
  </si>
  <si>
    <t>DAHISAR (E)</t>
  </si>
  <si>
    <t>Mumbai</t>
  </si>
  <si>
    <t>SACHIN DAYANAND HOLKAR</t>
  </si>
  <si>
    <t>NEAR PRAGATI SOCIETY FLAT</t>
  </si>
  <si>
    <t>NO303 EXPRESS VIEW APATMENTE</t>
  </si>
  <si>
    <t>E HIGHWAY CHEMBUR CHEMBUR</t>
  </si>
  <si>
    <t>MATHEW THOMAS</t>
  </si>
  <si>
    <t>3-C/503, SAKI HERITAGE CHS LTD</t>
  </si>
  <si>
    <t>SAKI VIHAR COMPLEX, SAKI VIHAR</t>
  </si>
  <si>
    <t>ROAD, SAKINAKAMUMBAI</t>
  </si>
  <si>
    <t>SATISH VENUGOPAL PAI</t>
  </si>
  <si>
    <t>408 FIORELLO NAHAR AMRIT SHAKTI</t>
  </si>
  <si>
    <t>SECTOR R2 CHANDIVALI</t>
  </si>
  <si>
    <t>SACHIN VASANTRAO SAWANT</t>
  </si>
  <si>
    <t>19/46,RLY POLICE QUARTERS,90</t>
  </si>
  <si>
    <t>FEET RD,GHATKOPAR(E),PANT NGR</t>
  </si>
  <si>
    <t>.MUMBAI MAHARASHTRA</t>
  </si>
  <si>
    <t>KUNAL KAR</t>
  </si>
  <si>
    <t>A 505 SKYLINE VILLA</t>
  </si>
  <si>
    <t>NR HIRANANDANI HOSPITAL POWAI</t>
  </si>
  <si>
    <t>RONAK B RUPAREL</t>
  </si>
  <si>
    <t>12 AMARDEEP LIC COLONY</t>
  </si>
  <si>
    <t>NR VARDHMAN NAGAR MULUND WEST</t>
  </si>
  <si>
    <t>NR VARDHMAN NAGAR</t>
  </si>
  <si>
    <t>SAGAR SURESH BHAMBID</t>
  </si>
  <si>
    <t>INDIRA NAGAR NO.3 NAHUR ROAD</t>
  </si>
  <si>
    <t>NR ASHOK NAGAR</t>
  </si>
  <si>
    <t>MUMBAI MULUND WESTMUMBAI</t>
  </si>
  <si>
    <t>YASH NILESH NAVALE</t>
  </si>
  <si>
    <t>OPP.SIDDHI GANESH MANDIR 2/8</t>
  </si>
  <si>
    <t>SAINATH</t>
  </si>
  <si>
    <t>CHAWL,KAJUPADA,BHATWADI.</t>
  </si>
  <si>
    <t>ASHOK YASHAWANT TANDEL</t>
  </si>
  <si>
    <t>V M PAWAR CHWL BHIM NGR</t>
  </si>
  <si>
    <t>LBS MARG BHD SARVODAY HOSP</t>
  </si>
  <si>
    <t>GHATKOPAR W S O</t>
  </si>
  <si>
    <t>SIDDHESH AVINASH DESAI</t>
  </si>
  <si>
    <t>BRASS WADI CHAWL</t>
  </si>
  <si>
    <t>GAVDEVI ROAD</t>
  </si>
  <si>
    <t>GHATKOPAR WEST</t>
  </si>
  <si>
    <t>PRADEEP SAREMAL JAIN</t>
  </si>
  <si>
    <t>3 C, SAGAR APPARTMENT</t>
  </si>
  <si>
    <t>GOVANDI STATION ROAD</t>
  </si>
  <si>
    <t>GOVANDI (E)</t>
  </si>
  <si>
    <t>MAYANK RAWAT</t>
  </si>
  <si>
    <t>A/20, GANGA JYOTI</t>
  </si>
  <si>
    <t>BANGUR NAGAR</t>
  </si>
  <si>
    <t>GOREGAON (WEST)MUMBAI</t>
  </si>
  <si>
    <t>PRIYANKA SIDDHESH MAYEKAR</t>
  </si>
  <si>
    <t>203/C-3,HARI OM APARTMENT S V ROAD BORIVALI WEST,</t>
  </si>
  <si>
    <t>MUMBAI, MUMBAI</t>
  </si>
  <si>
    <t>HONEY KUMAR RAJDA</t>
  </si>
  <si>
    <t>18 GOPAL APARTMENT LT ROAD</t>
  </si>
  <si>
    <t>BABHAI NAKA NEAR VEER SAWARKAR</t>
  </si>
  <si>
    <t>UDYAN BORIVALI WEST S O</t>
  </si>
  <si>
    <t>ARUN B PAWAR</t>
  </si>
  <si>
    <t>TULIP IT SERVICES LTD</t>
  </si>
  <si>
    <t>PLOT NO 32 CENTRAL ROAD</t>
  </si>
  <si>
    <t>MIDC ANDHERI E</t>
  </si>
  <si>
    <t>MITHUN RAMSINGAR YADAV</t>
  </si>
  <si>
    <t>5 GANU NARAYAN CHAWL</t>
  </si>
  <si>
    <t>JIJAMATA MARG PUMP HOUSE</t>
  </si>
  <si>
    <t>NEAR BJP OFFICE ANDHERI EAST</t>
  </si>
  <si>
    <t>JIGNESH VELJI GALA</t>
  </si>
  <si>
    <t>A 504 SHREE VVALLABH YOG CHS L</t>
  </si>
  <si>
    <t>DAFTARY RD MALAD</t>
  </si>
  <si>
    <t>MALAD EASTMUMBAI MAHARASHTRA</t>
  </si>
  <si>
    <t>URMILA HARISH WAGELA</t>
  </si>
  <si>
    <t>ROOM NO.13 JAGATRAJ NIWAS</t>
  </si>
  <si>
    <t>KURAR ROAD DAFTARI ROAD MALAD</t>
  </si>
  <si>
    <t>EAST MALAD (EAST)MUMBAI MAHARASHTRA</t>
  </si>
  <si>
    <t>AJAY BRAHMADEO MISHRA</t>
  </si>
  <si>
    <t>JAY BAJRANG WELFRE SOC RM</t>
  </si>
  <si>
    <t>NO19 AKURLI ROAD NEAR LAST</t>
  </si>
  <si>
    <t>BUS STOP DAMU NAGAR</t>
  </si>
  <si>
    <t>VINOD SHANKAR PAWAR</t>
  </si>
  <si>
    <t>DURGAMATA CHAWL KRANTI NAGAR</t>
  </si>
  <si>
    <t>AKURLI ROAD KANDIVLI EAST</t>
  </si>
  <si>
    <t>NR DURGAMATA MANDIR</t>
  </si>
  <si>
    <t>MALCOM JOHN LOBO</t>
  </si>
  <si>
    <t>KASHINATH MORE CHAWL ROOM NO</t>
  </si>
  <si>
    <t>02 OPP GURUKUL SOCIETY</t>
  </si>
  <si>
    <t>PANCHPAKHADI THANE NAUPADA</t>
  </si>
  <si>
    <t>JITENDRA MADHUKAR JOSHI</t>
  </si>
  <si>
    <t>FLAT NO 701</t>
  </si>
  <si>
    <t>7TH FLOOR C WING</t>
  </si>
  <si>
    <t>RUNWAL ESTATEGHODBANDAR ROAD</t>
  </si>
  <si>
    <t>RAMESHKUMAR G PRAJAPAT</t>
  </si>
  <si>
    <t>SHRADDHA SABURI 2ND FLOOR</t>
  </si>
  <si>
    <t>ROOM NO 105 DIWA E</t>
  </si>
  <si>
    <t>SURESH BABU K M</t>
  </si>
  <si>
    <t>ROOM NO-605,6TH FLOOR</t>
  </si>
  <si>
    <t>SHANKHESHWAR HEIGHTS</t>
  </si>
  <si>
    <t>PLOT NO-6, SECTOR-11, KHARGHARNAVI MUMBAI</t>
  </si>
  <si>
    <t>SWAPNIL BHAGWAN JADHAV</t>
  </si>
  <si>
    <t>SO BHAGWAN JADHAV VITAI</t>
  </si>
  <si>
    <t>NIWAS HOUSE NO 1477 007 TO</t>
  </si>
  <si>
    <t>1471 010 ROOM NO A 304</t>
  </si>
  <si>
    <t>PRASANN NANDKISHOR MODI</t>
  </si>
  <si>
    <t>PLOT NO 19 20 NO 1</t>
  </si>
  <si>
    <t>GANDHI VILLA SECTOR 4 SEAWOOD</t>
  </si>
  <si>
    <t>NERULNAVI MUMBAI</t>
  </si>
  <si>
    <t>CHANDA RAJEEV JAGGI</t>
  </si>
  <si>
    <t>NL 5 28 1 NEAR VINVINA</t>
  </si>
  <si>
    <t>HOTEL SECTOR 3</t>
  </si>
  <si>
    <t>NERUL</t>
  </si>
  <si>
    <t>MANIDEVI HIRALAL BENGANI</t>
  </si>
  <si>
    <t>C- 501, PORWAL COMPLEX</t>
  </si>
  <si>
    <t>60 FEET ROAD</t>
  </si>
  <si>
    <t>BHAYANDER WESTTHANE DIST</t>
  </si>
  <si>
    <t>PALGHAR</t>
  </si>
  <si>
    <t>BHAGYASHRI RAVINDRA PADWAL</t>
  </si>
  <si>
    <t>Room No 18, Shevante Chawl Goddev Gaon, Vitthal Mandir</t>
  </si>
  <si>
    <t>Opp. Anand Complex</t>
  </si>
  <si>
    <t>VIKAS SUBHASH JAIN</t>
  </si>
  <si>
    <t>ROOM NO 3 DATTA KRUPA</t>
  </si>
  <si>
    <t>NR GANESH MANDIR JESAL PARK</t>
  </si>
  <si>
    <t>BHAYANDER EAST</t>
  </si>
  <si>
    <t>SUNILKUMAR PK</t>
  </si>
  <si>
    <t>FLAT NO 101 E WING SHEETAL SMRUTI</t>
  </si>
  <si>
    <t>SHEETAL NAGAR</t>
  </si>
  <si>
    <t>MIRA ROAD EASTTHANE MAHARASHTRA</t>
  </si>
  <si>
    <t>AJEESH ANIYAN ABRAHAM</t>
  </si>
  <si>
    <t>A 103 N G STERLING OPP QUEEN</t>
  </si>
  <si>
    <t>MARYS HIGH SCHOOL OLD GOLDEN</t>
  </si>
  <si>
    <t>NEST PHASE 3 MIRA BHAYANDER</t>
  </si>
  <si>
    <t>DEEPAK KANAYALAL JETHWANI</t>
  </si>
  <si>
    <t>B WING 201 MAHAVIR DARSHAN CHS</t>
  </si>
  <si>
    <t>LTD SHANTI PARK GOKUL VILLAGE MIRAROAD EAST</t>
  </si>
  <si>
    <t>RIZWAN HASHMI .</t>
  </si>
  <si>
    <t>E-202 CENTURY PARK CHS LTD,</t>
  </si>
  <si>
    <t>POOJA NAGAR ROAD, NAYA NAGAR,</t>
  </si>
  <si>
    <t>NEAR GULISTAN SOCIETY, MIRA RD</t>
  </si>
  <si>
    <t>PALLAVI DILIP DESHPANDE DILIP DESHPANDE</t>
  </si>
  <si>
    <t>B/104 jasmine apt natasha park</t>
  </si>
  <si>
    <t>bhakti vedant road opp royal</t>
  </si>
  <si>
    <t>penkarpada mira road east</t>
  </si>
  <si>
    <t>VANDIT MUKESH RATHOD</t>
  </si>
  <si>
    <t>FALT NO A 15 3RD FLOOR JAY</t>
  </si>
  <si>
    <t>VINNDAVAN ANAND NAGAR NEAR K T VISION CINEMA ANAND NAGA</t>
  </si>
  <si>
    <t>ANJALI DHARMARAJ AMBERKAR .</t>
  </si>
  <si>
    <t>J-203 ROYAL COUNTRY CHS</t>
  </si>
  <si>
    <t>NR LITTLE FLOWER SCHOOL</t>
  </si>
  <si>
    <t>SAMEL PADA NALLASOPARA WEST</t>
  </si>
  <si>
    <t>VASAI</t>
  </si>
  <si>
    <t>INDU CHANDRAPRAKASH SINGH</t>
  </si>
  <si>
    <t>K503 RASHMI RESIDENCY NEW LINK ROAD</t>
  </si>
  <si>
    <t>NALASOPARAE SARASWAT BANK</t>
  </si>
  <si>
    <t>HITESH PANGHANIYA</t>
  </si>
  <si>
    <t>FLAT NO 704 F WING VINAY UNOIQUE</t>
  </si>
  <si>
    <t>GARDEN BEHIND EKTA PARKS VILLA NR</t>
  </si>
  <si>
    <t>GLOBAL CITY VIR WESTPALGHAR MAHARASHTRA</t>
  </si>
  <si>
    <t>VILAS MANOHAR NAIKDHURE</t>
  </si>
  <si>
    <t>105 OM SAI SHRADDHA APARTMENT</t>
  </si>
  <si>
    <t>HARISHCHANDRA MARG OPP CANARA</t>
  </si>
  <si>
    <t>BANKMANVELPADAVASAIVIRAREAST MAHARASHTRA</t>
  </si>
  <si>
    <t>SURESH DHAUL</t>
  </si>
  <si>
    <t>177 CHORAVALI TALUKA TALA</t>
  </si>
  <si>
    <t>RAIGAD TALEGAON TARF</t>
  </si>
  <si>
    <t>TALE TELEGAO RAIGARHRAIGARH MAHARASHTRA</t>
  </si>
  <si>
    <t>GRACY LEWIS</t>
  </si>
  <si>
    <t>BLOCK F FLAT FTH 1</t>
  </si>
  <si>
    <t>ADWALPALKAR SHELTER</t>
  </si>
  <si>
    <t>CARANZALEM TISWADI PANJI</t>
  </si>
  <si>
    <t>PANJI</t>
  </si>
  <si>
    <t>SINDHU PRABHU DESSAI</t>
  </si>
  <si>
    <t>H NO 142 MODDI</t>
  </si>
  <si>
    <t>ASSOLDA</t>
  </si>
  <si>
    <t>QUEPEMGOA</t>
  </si>
  <si>
    <t>SOUTH GOA</t>
  </si>
  <si>
    <t>JOFREY PEREIRA</t>
  </si>
  <si>
    <t>17 B GONSUA BETALBATIM</t>
  </si>
  <si>
    <t>BETALBHATIM SOUTH GOA</t>
  </si>
  <si>
    <t>OMPRAKASH RAMNATH YADAV</t>
  </si>
  <si>
    <t>149 A AIRPORT ROAD AITO DABOLIM</t>
  </si>
  <si>
    <t>CHICALIM</t>
  </si>
  <si>
    <t>VASCO GOA</t>
  </si>
  <si>
    <t>DAULATRAO SHANKAR MASKE</t>
  </si>
  <si>
    <t>S NO 34/A PL NO 23</t>
  </si>
  <si>
    <t>VIDYA NAGAR TINGRE NAGAR</t>
  </si>
  <si>
    <t>VILAS PARSHURAM TUPE</t>
  </si>
  <si>
    <t>A 203/ 204 2ND FLROM SHREE CHANDRODAY APTSNEAR A J MAND</t>
  </si>
  <si>
    <t>IR HIGH SCHOOL</t>
  </si>
  <si>
    <t>DEEPAK ULHAS LAVATE</t>
  </si>
  <si>
    <t>PL -5 /B, 19 / 10 RAIGAD KHANDA COLO</t>
  </si>
  <si>
    <t>ANVEL NEW PANVEL ( W ) RAIGARH</t>
  </si>
  <si>
    <t>PANVEL RAIGARH(MH)</t>
  </si>
  <si>
    <t>ALKA BIRENDER SINGH</t>
  </si>
  <si>
    <t>W O BIRENDER SINGH D 1001 PATEL HERITAGE</t>
  </si>
  <si>
    <t>PLOT NO 15 17 NEAR UTSAV CHOWK SECTOR 07</t>
  </si>
  <si>
    <t>KHARGHAR NAVI MUMBAI KHARGHAR RAIGARH MAHARASHTRA</t>
  </si>
  <si>
    <t>YOGESH SUBHASH PATIL</t>
  </si>
  <si>
    <t>B 102 MILLENIUM ORCHID PLOT NO</t>
  </si>
  <si>
    <t>C 03 NR UTSAV CHOWK SEC-12</t>
  </si>
  <si>
    <t>KHARGHAR PANVEL RAIGARH</t>
  </si>
  <si>
    <t>RAIGARH(MH)</t>
  </si>
  <si>
    <t>SUNIL H KADAM</t>
  </si>
  <si>
    <t>K L 5/44/12 SECTOR 3E</t>
  </si>
  <si>
    <t>KALAMBOLI COLONY</t>
  </si>
  <si>
    <t>TAL PANVEL</t>
  </si>
  <si>
    <t>SANGRAM SAMBHAJI HULAVLE</t>
  </si>
  <si>
    <t>NEAR ROHIDAS WADA</t>
  </si>
  <si>
    <t>KARLA PUNE</t>
  </si>
  <si>
    <t>ANKUSH JYOTIRAM CHOUGULE .</t>
  </si>
  <si>
    <t>MAHINDRA CIE AUTOMOTIVE LTD</t>
  </si>
  <si>
    <t>GAT NO 856 TO 860 CHAKAN</t>
  </si>
  <si>
    <t>AMBETHAN RD TAL KHED DIST</t>
  </si>
  <si>
    <t>Nasir Usman Inamdar</t>
  </si>
  <si>
    <t>AMBETHAN ROAD CHAKAN TAL -</t>
  </si>
  <si>
    <t>KHED DAVADMALA SAVATA MALI</t>
  </si>
  <si>
    <t>MANDIR NEAR PUNE</t>
  </si>
  <si>
    <t>UMESH HANUMANT GAIKWAD</t>
  </si>
  <si>
    <t>SATYAM SHIVAM SUNDARAM</t>
  </si>
  <si>
    <t>BANGALA TINHEWADI ROAD, TELKO</t>
  </si>
  <si>
    <t>COLONY NO 3 KHED, PUNE</t>
  </si>
  <si>
    <t>MANGESH GHANSHAM THORAT</t>
  </si>
  <si>
    <t>DAREKAR VASTI AMBEGAON LAUKI</t>
  </si>
  <si>
    <t>SAMEER BAJARANG BODAKE</t>
  </si>
  <si>
    <t>IKYA HUMAN CAPITAL SOLUTION PVT LTD</t>
  </si>
  <si>
    <t>607 FLR NUCLEUS MALL</t>
  </si>
  <si>
    <t>OPP COMMISSIONER OFFICEPUNE</t>
  </si>
  <si>
    <t>GAYATRI SATPUTE</t>
  </si>
  <si>
    <t>NO 607 FLR NUCLEUS MALL</t>
  </si>
  <si>
    <t>SUNIL TOPE</t>
  </si>
  <si>
    <t>KAVADE PETROL PAMP MAGE BT KAW</t>
  </si>
  <si>
    <t>ADE RD NANAI BAG GHORPADIGAV</t>
  </si>
  <si>
    <t>HAVELI GHORAPADI GAON</t>
  </si>
  <si>
    <t>DHRUPAD KOTHARI</t>
  </si>
  <si>
    <t>HSBC GLT 10 25/B</t>
  </si>
  <si>
    <t>WEST AVENUE</t>
  </si>
  <si>
    <t>KALYANI NAGARPUNE MAHARASHTRA</t>
  </si>
  <si>
    <t>PIYUSH SURESH SONAWANE</t>
  </si>
  <si>
    <t>HOUSE NO 7 NEAR AGRESEN HIGH SCHOOL PUNE CITY TEH -</t>
  </si>
  <si>
    <t>PUNE CITY DIST - MH</t>
  </si>
  <si>
    <t>GANESH SAMPAT KALGUDE</t>
  </si>
  <si>
    <t>C 197 DHOBI GHAT</t>
  </si>
  <si>
    <t>PUNE UNIVERSITY PUNE CITY</t>
  </si>
  <si>
    <t>PUNEPUNE MAHARASHTRA</t>
  </si>
  <si>
    <t>VYANKATESH RAMCHANDRA DRAVID</t>
  </si>
  <si>
    <t>302 RASTAPETH TALUKA PUNE CITY</t>
  </si>
  <si>
    <t>PUNE MAHARASHTRA</t>
  </si>
  <si>
    <t>GURPREETKAUR SANDEEPSINGH NARANG</t>
  </si>
  <si>
    <t>383 1B SAYAKAL SOC RASTA</t>
  </si>
  <si>
    <t>PETH GHAR KR 378 TO 395424</t>
  </si>
  <si>
    <t>RASTA PETH NEAR YMCA CLUB</t>
  </si>
  <si>
    <t>KIRAN RAJU .</t>
  </si>
  <si>
    <t>HONEYWELL AUTOMATION INDIA LTD</t>
  </si>
  <si>
    <t>56 57 HADAPSAR</t>
  </si>
  <si>
    <t>INDUSTRIAL ESTATE HADAPSAR</t>
  </si>
  <si>
    <t>PRATIK PRAVIN BABAR</t>
  </si>
  <si>
    <t>801 S NO 4 PUNE ALANDI ROAD</t>
  </si>
  <si>
    <t>NEAR SHANI MARUTI MANDIR</t>
  </si>
  <si>
    <t>DIGHI PUNE CITY PUNE</t>
  </si>
  <si>
    <t>T D VISHNU KUMAR</t>
  </si>
  <si>
    <t>H 403 PARK ROYALE</t>
  </si>
  <si>
    <t>NAKHATE CHOWK</t>
  </si>
  <si>
    <t>OPP AKASHGANGA RAHATANIPUNE MAHARASHTRA INDIA</t>
  </si>
  <si>
    <t>PRATIK SUDAM SAWANT</t>
  </si>
  <si>
    <t>Swapnapurti, S. No. 79/2/2, Abhiyanta Colony, Jyotiba N</t>
  </si>
  <si>
    <t>DINJU C T</t>
  </si>
  <si>
    <t>FLAT NO 2 SAYALI APARTMENT PL 14/15</t>
  </si>
  <si>
    <t>VARDAYINI SOCIETY SUS ROAD PASHAN</t>
  </si>
  <si>
    <t>PUNEMAHARASHTRA</t>
  </si>
  <si>
    <t>SURAJ DATTATRAY MAGAR</t>
  </si>
  <si>
    <t>HOLI CHOAIK, GAVATHAN,HAVELI</t>
  </si>
  <si>
    <t>KONDHAVE</t>
  </si>
  <si>
    <t>DHAVDE,PUNE</t>
  </si>
  <si>
    <t>DEBASISH KARAK</t>
  </si>
  <si>
    <t>FL NO 14 BLDG D</t>
  </si>
  <si>
    <t>DHANRAJ PARK 207 3</t>
  </si>
  <si>
    <t>KASPATEPUNE</t>
  </si>
  <si>
    <t>KAMLESH SHINDE</t>
  </si>
  <si>
    <t>81, SHIVPRASAD BUILDING</t>
  </si>
  <si>
    <t>CHAITRABAN SOCIETY, NEAR</t>
  </si>
  <si>
    <t>FAMOUSCHOWK, NEW SANGVI,PUNE</t>
  </si>
  <si>
    <t>MANGESH KALE</t>
  </si>
  <si>
    <t>41 GIRIJADHAM RAJENDRANAGAR</t>
  </si>
  <si>
    <t>NAVI PETH</t>
  </si>
  <si>
    <t>SWAPNEEL SATISH BICHKAR</t>
  </si>
  <si>
    <t>FLAT NO 5 SAMARTH KRUPA PLOT</t>
  </si>
  <si>
    <t>NO11 ROAD NO 13 SUR NO3311</t>
  </si>
  <si>
    <t>KEKAN GAS LANE TINGARE</t>
  </si>
  <si>
    <t>NILIMA AMIT DAHIWAL</t>
  </si>
  <si>
    <t>flat no 203 buliding vighneshwar prasun dham society da</t>
  </si>
  <si>
    <t>opposit birla hospital</t>
  </si>
  <si>
    <t>ASHISHKUMAR SHIVNARAYAN VISHWAKARMA</t>
  </si>
  <si>
    <t>, Behind Parag Jewellers, Belthika Nagar, Thergaon Beh</t>
  </si>
  <si>
    <t>VIDYA SANTOSH KOTHAVALE</t>
  </si>
  <si>
    <t>S NO 273/1/2 CTS 4302</t>
  </si>
  <si>
    <t>FLAT NO 5 PRAGATI HEIGHT SHRIDHAR</t>
  </si>
  <si>
    <t>NAGAR CHINCHWAD</t>
  </si>
  <si>
    <t>CHANDAN SADANAND THOKANEKAR</t>
  </si>
  <si>
    <t>DISHA NEST, CHANDRABHAGA</t>
  </si>
  <si>
    <t>COLONY, TANAJINAGAR BEHIND DARSHAN HALL, CHIMCHWADGAON</t>
  </si>
  <si>
    <t>PRASAD LAXMAN BHAVE</t>
  </si>
  <si>
    <t>42542 PRASAD APARTMENT T M V</t>
  </si>
  <si>
    <t>COLONY MUKUND NAGAR</t>
  </si>
  <si>
    <t>RAGHUNATH P GUNE</t>
  </si>
  <si>
    <t>FLAT NO 53 BLDG A WOODLAND</t>
  </si>
  <si>
    <t>NEAR GANDHI BHAVAN</t>
  </si>
  <si>
    <t>KOTHRUD</t>
  </si>
  <si>
    <t>SHAILA GOKUL PANGARE</t>
  </si>
  <si>
    <t>S B Residency,Flat No-A 10, Indrayninagar,Bhosari Secto</t>
  </si>
  <si>
    <t>JAISHREE VASANT MUNDADA</t>
  </si>
  <si>
    <t>SHITAL BAG BUIL.NO 15</t>
  </si>
  <si>
    <t>FL.NO.4 PUNE NASHIK ROAD</t>
  </si>
  <si>
    <t>BHOSARI,BHOSARIGAON</t>
  </si>
  <si>
    <t>NITESH KISHOR SONAR</t>
  </si>
  <si>
    <t>FLAT NO33 4TH FLOOR F 371</t>
  </si>
  <si>
    <t>PARVATIKUNJ APTS NR TAPKIR</t>
  </si>
  <si>
    <t>BUNGLOW DHANKAWADI</t>
  </si>
  <si>
    <t>TANAJI TUKARAM MANE</t>
  </si>
  <si>
    <t>S/O TUKARAM MANE, D-5/503, LAKE TOWN</t>
  </si>
  <si>
    <t>, NEARCHAITRABAN, BIBEWEWADI, KATRAJ</t>
  </si>
  <si>
    <t>, PUNEPUNE MAHARASHTRA</t>
  </si>
  <si>
    <t>BATHE MAHESH RAJARAM</t>
  </si>
  <si>
    <t>S NO 67/1/1B/3/8</t>
  </si>
  <si>
    <t>SANTOSH NAGAR KATRAJ 46</t>
  </si>
  <si>
    <t>NR PRABHA TAYRS PUNEMAHARASHTRA</t>
  </si>
  <si>
    <t>MURLIDHAR GHANSHYAM JAMBHALE</t>
  </si>
  <si>
    <t>NEAR VITTHAL RUKMINI MANDIR</t>
  </si>
  <si>
    <t>JAMBHULWADI GAON KATRAJ</t>
  </si>
  <si>
    <t>KESHARWANI CHANDRASHEKHAR</t>
  </si>
  <si>
    <t>J/1/8 KRISHNAKEWAL TOWNSHIP</t>
  </si>
  <si>
    <t>KONDHWA ROAD</t>
  </si>
  <si>
    <t>OPP RUPEE BANK KONDHWAPUNE</t>
  </si>
  <si>
    <t>GANESH RAVINDRA MEDHEKAR</t>
  </si>
  <si>
    <t>S NO 174 HISSA NO 321 MARKI</t>
  </si>
  <si>
    <t>PHASE 2 F NO 208 MIRACLE</t>
  </si>
  <si>
    <t>WAKAD ROAD WAKAD OPP KAKA</t>
  </si>
  <si>
    <t>MAHESH ANANDRAO PANDEKAR</t>
  </si>
  <si>
    <t>Flat No-A/401,Ravikaran Heights Co-O</t>
  </si>
  <si>
    <t>p HousingSociety Behind Ramkrishana</t>
  </si>
  <si>
    <t>Mangal KaryalayaNavecha Road PimplePimpale Gurav Maharashtra</t>
  </si>
  <si>
    <t>SHYAM B GOSAVI</t>
  </si>
  <si>
    <t>FLAT NO 03 SHYAM PARADISE</t>
  </si>
  <si>
    <t>NEAR DMART SECTOR 29</t>
  </si>
  <si>
    <t>VITTHAL NAGAR RAVET HAVELI</t>
  </si>
  <si>
    <t>REVAN N SUTAR .</t>
  </si>
  <si>
    <t>C/O DIPAK PRAKASH DAIVDNYA</t>
  </si>
  <si>
    <t>H.NO.57 GANDHI CHOWK NR LAXMI</t>
  </si>
  <si>
    <t>MANDIR CHIKHALI GAVTHAN BK</t>
  </si>
  <si>
    <t>KALBHOR VISHAL BABASAHEB</t>
  </si>
  <si>
    <t>PANDAVDAND WAKWASTI KADAMWAK</t>
  </si>
  <si>
    <t>WASTI WAKWASTI</t>
  </si>
  <si>
    <t>HIMANSHU KUMAR</t>
  </si>
  <si>
    <t>LONI STATION RAILWAY COLONY</t>
  </si>
  <si>
    <t>RB3174 LONIKALBHOR KADAM WAK</t>
  </si>
  <si>
    <t>WASTI</t>
  </si>
  <si>
    <t>APARNA VINOD KADAM</t>
  </si>
  <si>
    <t>NEAR MHATOBA SCHOOL ALANDI</t>
  </si>
  <si>
    <t>MHATOBACHI</t>
  </si>
  <si>
    <t>VIKAS K BHALERAO</t>
  </si>
  <si>
    <t>A P KHED SHIVAPUR TAL HAVELI</t>
  </si>
  <si>
    <t>SANJAY BALASAHEB GARUD</t>
  </si>
  <si>
    <t>TAKAI DARSHAN LANE 8 B 21 GANRAJ BUNG TALUKA HAVELI</t>
  </si>
  <si>
    <t>MAHAJAN DURVAS BALIRAM</t>
  </si>
  <si>
    <t>S E PATIL ROLWOOD PARK</t>
  </si>
  <si>
    <t>MANJARI ROAD MAX NO 201</t>
  </si>
  <si>
    <t>WAGHOLIPUNE</t>
  </si>
  <si>
    <t>GANESH PUNDE</t>
  </si>
  <si>
    <t>KANHVR MESAE PUNE</t>
  </si>
  <si>
    <t>SOLAPUR</t>
  </si>
  <si>
    <t>ASALKAR NANDKUMAR BALIRAM .</t>
  </si>
  <si>
    <t>A-55 JANKAR NGR NR PAWAN</t>
  </si>
  <si>
    <t>GANPATI MANDIR DAMANI NAGAR</t>
  </si>
  <si>
    <t>LAXMI PETH SOLAPUR</t>
  </si>
  <si>
    <t>OMKAR PRAKASH DESHPANDE</t>
  </si>
  <si>
    <t>TRIMURTY APARTMENT PATAS</t>
  </si>
  <si>
    <t>ROAD BARAMATI MCI</t>
  </si>
  <si>
    <t>AMOL LAKSHMAN DOIPHODE</t>
  </si>
  <si>
    <t>AY POST REDANI INDAPUR</t>
  </si>
  <si>
    <t>REDANI</t>
  </si>
  <si>
    <t>CHANDRAPUR</t>
  </si>
  <si>
    <t>GANESH NARAYAN SHINDE</t>
  </si>
  <si>
    <t>123 DHOR GALLI VILL TEL</t>
  </si>
  <si>
    <t>MADHA DIST SOLAPUR</t>
  </si>
  <si>
    <t>ASHWIN SUNIL DALVI</t>
  </si>
  <si>
    <t>DATTA MANDIR, MU POST YAWALI</t>
  </si>
  <si>
    <t>TALUKA MOHOL YAWALI</t>
  </si>
  <si>
    <t>TRUPTI ANAND LONDHE</t>
  </si>
  <si>
    <t>BARSHI VHANKALAS PLOT, ALIPUR</t>
  </si>
  <si>
    <t>ROAD BARSHI</t>
  </si>
  <si>
    <t>LATUR</t>
  </si>
  <si>
    <t>RENUKA HARIDAS GILBILE</t>
  </si>
  <si>
    <t>, TA.PARANDA TA.PARANDA MU.PO.SHIRALA</t>
  </si>
  <si>
    <t>MANGESH BIBHISHAN AWAD</t>
  </si>
  <si>
    <t>MORE PAN STOL SHIVAJI CHOWK</t>
  </si>
  <si>
    <t>SEEMA J BAHETI</t>
  </si>
  <si>
    <t>DAM ROAD DAL MILL</t>
  </si>
  <si>
    <t>DURGA DAL MILL SAMOR</t>
  </si>
  <si>
    <t>UDGIR</t>
  </si>
  <si>
    <t>PRAJAKTA MADAN GOBADE</t>
  </si>
  <si>
    <t>1089 KASAR SIRSI ROAD</t>
  </si>
  <si>
    <t>SARSWATI COLONY NILANGA</t>
  </si>
  <si>
    <t>NILANGA</t>
  </si>
  <si>
    <t>VIKAS BHARAT RABBEWAR</t>
  </si>
  <si>
    <t>NEAR B S N L EXCHANGE</t>
  </si>
  <si>
    <t>KINGAON</t>
  </si>
  <si>
    <t>ADESH SATISH PARANDE</t>
  </si>
  <si>
    <t>MADAJ MADAJ</t>
  </si>
  <si>
    <t>NAYAN ASHOKRAO SHENDRE</t>
  </si>
  <si>
    <t>BHAVNAYAN AMBAJOGAI ROAD</t>
  </si>
  <si>
    <t>NEAR L I C OFFICE KESHAV</t>
  </si>
  <si>
    <t>DEVRAJ BHIMRAJ AREKAR</t>
  </si>
  <si>
    <t>LONI VYANKNATH LONI VYANKNATH</t>
  </si>
  <si>
    <t>SANKET CHANDRAKANT PAWAR</t>
  </si>
  <si>
    <t>SO CHANDRAKANT PAWAR STATION</t>
  </si>
  <si>
    <t>ROAD SHRIGONDA VISAPUR</t>
  </si>
  <si>
    <t>AHMADNAGAR MAHARASHTRA</t>
  </si>
  <si>
    <t>PATIL ANAND GANPAT</t>
  </si>
  <si>
    <t>A/P VAMBORI TAL RAHURI</t>
  </si>
  <si>
    <t>VAMBORI</t>
  </si>
  <si>
    <t>GANESH LALAJI PANDIT</t>
  </si>
  <si>
    <t>MANCHI ROAD</t>
  </si>
  <si>
    <t>NILESH NARAYAN JADHAV</t>
  </si>
  <si>
    <t>SHIKSHAK COLONY PADHEGAON</t>
  </si>
  <si>
    <t>ROAD TALUKA SHRIRAMPUR</t>
  </si>
  <si>
    <t>BELAPUR BK</t>
  </si>
  <si>
    <t>AHMADNAGAR</t>
  </si>
  <si>
    <t>AHMED NAGAR</t>
  </si>
  <si>
    <t>HARSHA KISHOR GANDHI</t>
  </si>
  <si>
    <t>plot no.9/13 fvinayak nagar vinayak nagar matoshri</t>
  </si>
  <si>
    <t>joging park vinayak nagar</t>
  </si>
  <si>
    <t>DARSHANA CHANDAN KUCHERIYA</t>
  </si>
  <si>
    <t>W/O CHANDANKUMAR KUCHERIYA</t>
  </si>
  <si>
    <t>LAKHAR GALLI PATHARDI</t>
  </si>
  <si>
    <t>DIPALI RISHIKESH DARKUNDE</t>
  </si>
  <si>
    <t>PLOT NO 18/21, SR.NO.105/5,</t>
  </si>
  <si>
    <t>AUDUMBAR ROW HOUSING, NAGAR MANMAD ROAD</t>
  </si>
  <si>
    <t>NAVNAGAPUR/MIDC, VADGAONGUPTA</t>
  </si>
  <si>
    <t>BEED</t>
  </si>
  <si>
    <t>PRASHANT PRAKASH VEDPATHAK</t>
  </si>
  <si>
    <t>SONAR GALLI</t>
  </si>
  <si>
    <t>AT PO KADA AASHTI</t>
  </si>
  <si>
    <t>KADA BID</t>
  </si>
  <si>
    <t>DINESH BORUDE</t>
  </si>
  <si>
    <t>SHAHAR TAKALI SHAHAR TAKALI</t>
  </si>
  <si>
    <t>VARSHA DILIP AHUJA</t>
  </si>
  <si>
    <t>KHANDOBA NAGAR SHEVGAON</t>
  </si>
  <si>
    <t>SHEVGAON AHMADNAGAR</t>
  </si>
  <si>
    <t>SHEVGAON</t>
  </si>
  <si>
    <t>PRATIK SANJAY NIKAM</t>
  </si>
  <si>
    <t>F 1 MAYURESHWAR APPARTMENT</t>
  </si>
  <si>
    <t>SADARBAZAR NEAR N C C OFFICE</t>
  </si>
  <si>
    <t>SATARASATARA MAHARASHTRA</t>
  </si>
  <si>
    <t>DEEPAK PRABHAKAR WATTAMWAR</t>
  </si>
  <si>
    <t>GAYATRI SOC</t>
  </si>
  <si>
    <t>PLOT NO 31 KONARK</t>
  </si>
  <si>
    <t>SAAHAPURI</t>
  </si>
  <si>
    <t>MOHAN BAPU DHONE .</t>
  </si>
  <si>
    <t>245 A LONAR GALLI RAMACHA</t>
  </si>
  <si>
    <t>GOT</t>
  </si>
  <si>
    <t>GAURI BAJIRAO DESAI</t>
  </si>
  <si>
    <t>NEAR POLICE LINE</t>
  </si>
  <si>
    <t>BAL PILATI SEDAN LARGE NAKA KARAD KARAD SATARA</t>
  </si>
  <si>
    <t>ANAND BABURAO LADI</t>
  </si>
  <si>
    <t>B 57 2 KOYANA VASAHAT</t>
  </si>
  <si>
    <t>MALKAPUR, TAL KARAD, DIST</t>
  </si>
  <si>
    <t>SUSHILKUMAR RAMCHANDRA MORE</t>
  </si>
  <si>
    <t>,KILLE MACHHINDRA GAD,KILLEMACHIND</t>
  </si>
  <si>
    <t>RAGAD</t>
  </si>
  <si>
    <t>.SANGLI</t>
  </si>
  <si>
    <t>SANGLI</t>
  </si>
  <si>
    <t>MAHESH ASHOK SARGAR</t>
  </si>
  <si>
    <t>KARGANI KARGANI</t>
  </si>
  <si>
    <t>KHANDERAO BHAGWAT SHINDE</t>
  </si>
  <si>
    <t>00 Main Road Dighanchi</t>
  </si>
  <si>
    <t>Sangar Galli</t>
  </si>
  <si>
    <t>DIGVIJAY DATTATRAY EKAL</t>
  </si>
  <si>
    <t>MARTUCHHYA , KANSE WADI</t>
  </si>
  <si>
    <t>GUNWARE, GUNAVARE</t>
  </si>
  <si>
    <t>MAHESH A BELDAR .</t>
  </si>
  <si>
    <t>PATIL WASTI NR HANUMAN</t>
  </si>
  <si>
    <t>MANDIR KAMEWADI ANDRUD SATARA</t>
  </si>
  <si>
    <t>RANSING RAVIKIRAN DATTATARY .</t>
  </si>
  <si>
    <t>HANUMAN NAGAR PHALTAN</t>
  </si>
  <si>
    <t>KOLHAPUR</t>
  </si>
  <si>
    <t>ABHIJIT RAMCHANDRA KULKARNI</t>
  </si>
  <si>
    <t>PLOT NO 13 14 E WARD RAJENDRA</t>
  </si>
  <si>
    <t>NAGAR MOREWADI ROAD</t>
  </si>
  <si>
    <t>DINKAR VISHNU SAWANT</t>
  </si>
  <si>
    <t>MANKAI PLOT NO 16 S N 75 NEAR</t>
  </si>
  <si>
    <t>CHITRANAGARI MOREWADI</t>
  </si>
  <si>
    <t>OMKAR BABU ABRE</t>
  </si>
  <si>
    <t>GALLI NM 12</t>
  </si>
  <si>
    <t>LAXMI ROAD</t>
  </si>
  <si>
    <t>JAYSINGPUR</t>
  </si>
  <si>
    <t>LATIF RAJAK NADAF .</t>
  </si>
  <si>
    <t>NADAF MOHALLA FAKIR RD UDGAON</t>
  </si>
  <si>
    <t>UDAGON UDGAON</t>
  </si>
  <si>
    <t>DEEPAK VILAS POWAR</t>
  </si>
  <si>
    <t>kumbhoj kumbhoj 1790 malbhag kumbhoj</t>
  </si>
  <si>
    <t>PRITAM SHIVDATT KHOND</t>
  </si>
  <si>
    <t>SANGAR GALLI PETH VADGAON</t>
  </si>
  <si>
    <t>VATHAR TARF</t>
  </si>
  <si>
    <t>VADGAON KOLHAPUR</t>
  </si>
  <si>
    <t>SUPRIYA VISHVAS CHAUGALE</t>
  </si>
  <si>
    <t>AT POST KOLOLI TALUKA PANHALA</t>
  </si>
  <si>
    <t>KOLOLI</t>
  </si>
  <si>
    <t>AKSHAY TANAJI PATIL</t>
  </si>
  <si>
    <t>At-Ghudewadi</t>
  </si>
  <si>
    <t>Tal-Radhanagari</t>
  </si>
  <si>
    <t>RAJENDRA RAMCHANDRA KHILARE</t>
  </si>
  <si>
    <t>Sangli</t>
  </si>
  <si>
    <t>CHANDRASHEKHAR EKNATH BEDEKAR</t>
  </si>
  <si>
    <t>NEAR PATIL HOUD,</t>
  </si>
  <si>
    <t>BRAMHANPURI</t>
  </si>
  <si>
    <t>MIRAJ</t>
  </si>
  <si>
    <t>MAHESH SHASHIKANT PATIL</t>
  </si>
  <si>
    <t>MHAISHALVESH PANCHSHEEL NAGAR</t>
  </si>
  <si>
    <t>TALUKA MIRAJ</t>
  </si>
  <si>
    <t>SNAGLAI</t>
  </si>
  <si>
    <t>PRITAM DILIP ZADBUKE</t>
  </si>
  <si>
    <t>AP 7 PANDHARINATH SANJOG COLONY</t>
  </si>
  <si>
    <t>CIVIL HOSPITAL RD</t>
  </si>
  <si>
    <t>SANGLISANGLI</t>
  </si>
  <si>
    <t>HEMA DEVIDAS CHUGH</t>
  </si>
  <si>
    <t>BLOCK NO 1570</t>
  </si>
  <si>
    <t>ROOM NO 1 SECTION 27</t>
  </si>
  <si>
    <t>ULHASNAGAR</t>
  </si>
  <si>
    <t>REKHA SANDEEP UBALE</t>
  </si>
  <si>
    <t>LUMBINIVAN SOCIETYSUBHASH TEKDI AMBEDKAR CHOWK</t>
  </si>
  <si>
    <t>SUBHASH TEKDI NEAR NALANDA SCHOOL SUBHASH TEKDI</t>
  </si>
  <si>
    <t>VAISHALI AMOL BHOKRE</t>
  </si>
  <si>
    <t>205 OM SAI BALAJI BUILDING</t>
  </si>
  <si>
    <t>SAGOANSAGARLI ROAD DOMBIVALI</t>
  </si>
  <si>
    <t>EAST FRONT OF PARVATI</t>
  </si>
  <si>
    <t>RAVINDRA KASHIRAM SHIRSAT</t>
  </si>
  <si>
    <t>6SHREE SIDDHIVINAYAK</t>
  </si>
  <si>
    <t>CHAWLGYMKHANA RD</t>
  </si>
  <si>
    <t>TILAKNAGARSAGARLIDOMBIVLI E NR</t>
  </si>
  <si>
    <t>VISWANATHAN S</t>
  </si>
  <si>
    <t>203 ANJLI SMRUTI CHS</t>
  </si>
  <si>
    <t>SEEMA MANDAP DECORATORS</t>
  </si>
  <si>
    <t>DOMBIVALIDOMBIVALI (W)</t>
  </si>
  <si>
    <t>SUREKHA KAUSHIK PATIL</t>
  </si>
  <si>
    <t>5 2ND FLOOR BHAGUBAI NIWAS MHA</t>
  </si>
  <si>
    <t>TRE BUILDING SUBHASH ROAD HOLY</t>
  </si>
  <si>
    <t>PRIMARY SCHOOL NAVAPADADOMBIVALI WEST MAHARASHTRA</t>
  </si>
  <si>
    <t>SURAJ RAMCHANDRA KHOKAR</t>
  </si>
  <si>
    <t>4 NILKANTHESHWAR KRUPA CHAWL,</t>
  </si>
  <si>
    <t>RETI BANDER ROAD MOTHA GAON</t>
  </si>
  <si>
    <t>DOMBIVALI WEST, DOMBIVLI THANE</t>
  </si>
  <si>
    <t>MANISH KUMAR</t>
  </si>
  <si>
    <t>MAGNIFICA F 701</t>
  </si>
  <si>
    <t>LODHA PALAVA CITY CASA BELLA</t>
  </si>
  <si>
    <t>DOMBIVALI EAST LODHA WORLD SCH</t>
  </si>
  <si>
    <t>PRAVEEN U MENON</t>
  </si>
  <si>
    <t>NAVAL CHS ROOM NO 32</t>
  </si>
  <si>
    <t>THIRD FLOOR RAJBHAR NAGAR</t>
  </si>
  <si>
    <t>CHINCHPADA KALYAN EAST MAHARASHTRAKALYAN</t>
  </si>
  <si>
    <t>GANESH BABU CHAVAN</t>
  </si>
  <si>
    <t>1416 TATA POWER HOUSE</t>
  </si>
  <si>
    <t>PISAVALI MAHATMA GANDHI</t>
  </si>
  <si>
    <t>NAGAR KALYAN EAST SEVALAL</t>
  </si>
  <si>
    <t>ROOM NO 841A PLOT NO 16</t>
  </si>
  <si>
    <t>CS78 NEAR GAON DEVI TEMPLE</t>
  </si>
  <si>
    <t>JAWSALGAON THANE</t>
  </si>
  <si>
    <t>Thane</t>
  </si>
  <si>
    <t>NASHIK</t>
  </si>
  <si>
    <t>AFROZ ASHRAF SHAIKH</t>
  </si>
  <si>
    <t>PLOT NO 34 SR NO 8 4 A 5</t>
  </si>
  <si>
    <t>NISHANT KANTILAL PAWAR</t>
  </si>
  <si>
    <t>07 BALAJI VIHAR</t>
  </si>
  <si>
    <t>ASHOK STAMBH</t>
  </si>
  <si>
    <t>RAHUL CHANDRAVADAN SONAR</t>
  </si>
  <si>
    <t>30 AHER APPT GHARPURE GHAT ASH</t>
  </si>
  <si>
    <t>STAMBH NASHIK GOLE COLONY</t>
  </si>
  <si>
    <t>MASHIKNASHIK MAHARASHTRA</t>
  </si>
  <si>
    <t>VINITEE ANAND LODHA</t>
  </si>
  <si>
    <t>201, DIVINE SHELTER</t>
  </si>
  <si>
    <t>DON BOSCO MARG</t>
  </si>
  <si>
    <t>THATTE NAGAR, H P T COLLEGE</t>
  </si>
  <si>
    <t>SHASHIKALA SHIRISH KOLTE</t>
  </si>
  <si>
    <t>FLAT NO 5 KRUSHNADARSHAN APT</t>
  </si>
  <si>
    <t>INDIRA NAGAR CIDCO COLONY</t>
  </si>
  <si>
    <t>YUKTA RAJENDRA GOSAVI</t>
  </si>
  <si>
    <t>sai vihar apartment row house no-11, ambad ambad link r</t>
  </si>
  <si>
    <t>near shubham park</t>
  </si>
  <si>
    <t>YASH RAJENDRA GOSAVI</t>
  </si>
  <si>
    <t>Row house no 11,Sai Vihar Apartment Ambad Link Road Kam</t>
  </si>
  <si>
    <t>Shubham Park</t>
  </si>
  <si>
    <t>ANIL RAMCHANDRA ADKE</t>
  </si>
  <si>
    <t>2 SAI SHRADHA HARI OM NAGAR NASHIKAROAD TEH-NASHIK</t>
  </si>
  <si>
    <t>DIST- NASHIK MH -422101</t>
  </si>
  <si>
    <t>CHHAYA ANIL JADHAV</t>
  </si>
  <si>
    <t>FLAT NO 1 SHIVALAY APARTMENT</t>
  </si>
  <si>
    <t>PAWAR WADI OLD SAIKHEDA ROAD</t>
  </si>
  <si>
    <t>NEAR AMIT FLOAR MIL PANCHAK</t>
  </si>
  <si>
    <t>AKSHAY MACHINDRA MANDLIK</t>
  </si>
  <si>
    <t>C/O Akshay Machindra Mandlik,</t>
  </si>
  <si>
    <t>Daimand Row Ho. B-1,Hind Shakti Nagar, Jail Road, Nashi</t>
  </si>
  <si>
    <t>KISHOR GANPAT KULTHE</t>
  </si>
  <si>
    <t>NEAR POST OFFICE AT POST IGATPURI</t>
  </si>
  <si>
    <t>TAL IGATPURI</t>
  </si>
  <si>
    <t>NASHIKMAHARASHTRA</t>
  </si>
  <si>
    <t>MAHESH DNYANDEO HASE</t>
  </si>
  <si>
    <t>JAWALE KADLAG ROAD CHIKHALI</t>
  </si>
  <si>
    <t>SANGAMNER</t>
  </si>
  <si>
    <t>DHULE</t>
  </si>
  <si>
    <t>NIKHIL SANJAY MAHAJAN</t>
  </si>
  <si>
    <t>PLOT NO 167 SANT SAVATA NAGAR DEOPUR</t>
  </si>
  <si>
    <t>NEAR AKASHWANI KENDRA</t>
  </si>
  <si>
    <t>Atharva Shirish Pathak</t>
  </si>
  <si>
    <t>12 BHADGAON ROAD CHALISGAON</t>
  </si>
  <si>
    <t>MILL GATE JALGAON CHALISGAON</t>
  </si>
  <si>
    <t>KISHORI CHUDAMAN MAHAJAN</t>
  </si>
  <si>
    <t>plot no 39, Mukund colony Bhadgaon road Mukund colony</t>
  </si>
  <si>
    <t>Behind dajiba hotel Mukund colony</t>
  </si>
  <si>
    <t>JAISWAL YOGESH JAIPRAKASH</t>
  </si>
  <si>
    <t>P NO 19/A NITIN NAGAR SHAHADA</t>
  </si>
  <si>
    <t>TAL SHAHADA DIST NANDURBAR</t>
  </si>
  <si>
    <t>NANDURBAR MAHARASHTRA</t>
  </si>
  <si>
    <t>SUMIT SHAMKANT NYAYADHISH</t>
  </si>
  <si>
    <t>SO SHAMKANT NYAYADHISH NEAR</t>
  </si>
  <si>
    <t>GANPATI MANDIR MUNSIPAL</t>
  </si>
  <si>
    <t>COLONY AURANGABAD AURANGABAD</t>
  </si>
  <si>
    <t>MAKRAND ASARAM KOKANE</t>
  </si>
  <si>
    <t>SWAMI SAMARTH MANDIR JAWAL</t>
  </si>
  <si>
    <t>N-9, A-116 M-9/3 CIDCO SANT</t>
  </si>
  <si>
    <t>DNYANESHWAR NAGAR AURANGABAD</t>
  </si>
  <si>
    <t>AURANGABAD(MH)</t>
  </si>
  <si>
    <t>JAYENDRA HIRALAL SHROFF</t>
  </si>
  <si>
    <t>H.NO. 3/6/79, NAS GALLI,</t>
  </si>
  <si>
    <t>KASARI BAZAR,</t>
  </si>
  <si>
    <t>AURANGABAD.</t>
  </si>
  <si>
    <t>KIRAN RAJIV MUNDADA</t>
  </si>
  <si>
    <t>W/O RAJIV MUNDADA SHASTRI NAGAR</t>
  </si>
  <si>
    <t>172/A MUNDADA ENT AND EYE CARE CENTER</t>
  </si>
  <si>
    <t>GARKHEDA</t>
  </si>
  <si>
    <t>INDRAVADAN GOPALDAS MITHAWALA</t>
  </si>
  <si>
    <t>GOPALDAS MITHAWALA</t>
  </si>
  <si>
    <t>SUPARI HANUMAN ROAD, GOKUL</t>
  </si>
  <si>
    <t>NATH MOHALLA,</t>
  </si>
  <si>
    <t>JAYSHREE DEEPAKSINGH PARDESHI</t>
  </si>
  <si>
    <t>17,18 TRIMURTI COMPLEX</t>
  </si>
  <si>
    <t>TRIMURTI CHOWK</t>
  </si>
  <si>
    <t>JAWAHAR COLONYAURANGABAD</t>
  </si>
  <si>
    <t>ABHISHEK LAXMINARAYANJI JOSHI</t>
  </si>
  <si>
    <t>BID JUNA MONDHA ROAD, GHISAD</t>
  </si>
  <si>
    <t>GALLI BID</t>
  </si>
  <si>
    <t>SUNIL DNYANDEV PANDHRE</t>
  </si>
  <si>
    <t>KOTHI ANTERWALI TEMBHI JALNA</t>
  </si>
  <si>
    <t>KHEMANAND NARAYANJI PADMAVAT</t>
  </si>
  <si>
    <t>POST OFFICE ROAD SBI</t>
  </si>
  <si>
    <t>NEAR SAILU PARBHANI MAHARASHTR</t>
  </si>
  <si>
    <t>DNYANESHWAR BALAJI GIRI</t>
  </si>
  <si>
    <t>PALASGAON TARF MALOTA</t>
  </si>
  <si>
    <t>HINGOLI</t>
  </si>
  <si>
    <t>PRABHAKAR SHRIRAM GANJEWAR</t>
  </si>
  <si>
    <t>S/O SHRIRAM GANJEWAR 4-5-357</t>
  </si>
  <si>
    <t>KALIJI TEKEDI OLD MONDA</t>
  </si>
  <si>
    <t>NANDED, NANDED</t>
  </si>
  <si>
    <t>NAGORAO KERBA GADEKAR</t>
  </si>
  <si>
    <t>KALKA KALKA</t>
  </si>
  <si>
    <t>NANDURBAR</t>
  </si>
  <si>
    <t>KISHOR NARAYAN INGULKAR</t>
  </si>
  <si>
    <t>404 HIWARI LAYOUT NEAR DAGOBA</t>
  </si>
  <si>
    <t>SADAN BAGADGANJNAGPUR</t>
  </si>
  <si>
    <t>SATISH GOPAL GHANEKAR</t>
  </si>
  <si>
    <t>A 2 1 SBI COLONY RAJ NAGAR</t>
  </si>
  <si>
    <t>CHHAONI</t>
  </si>
  <si>
    <t>RAJESH KRISHNARAO AMBAZIRE</t>
  </si>
  <si>
    <t>GURUPRASAD NAGAR PLOT NO 369</t>
  </si>
  <si>
    <t>DUTTAWADI WADI</t>
  </si>
  <si>
    <t>GIRENDRA KUMAR R SINGH</t>
  </si>
  <si>
    <t>PLOT NO 25</t>
  </si>
  <si>
    <t>JIJIMATA NAGAR</t>
  </si>
  <si>
    <t>DIGHORI CHOEK</t>
  </si>
  <si>
    <t>RAJIV GOPAL KOLTE</t>
  </si>
  <si>
    <t>WARDHMAN MAHAVIR WARD GANESH NAGAR</t>
  </si>
  <si>
    <t>KOLTE NURSING HOME SAHYOG COLONY</t>
  </si>
  <si>
    <t>GANESH,GONDIAMAHARASHTRA,INDIA</t>
  </si>
  <si>
    <t>BHANDARA</t>
  </si>
  <si>
    <t>AMOL TULSHIRAM WADIBHASME</t>
  </si>
  <si>
    <t>NEAR KAWARI NURSING HOME</t>
  </si>
  <si>
    <t>JAMNALAL BAJAJ WARD</t>
  </si>
  <si>
    <t>WARDHA</t>
  </si>
  <si>
    <t>SHIVALI TEJAS KHUPSARE</t>
  </si>
  <si>
    <t>TEJAS MEDICALS MAIN ROAD</t>
  </si>
  <si>
    <t>NEHARU WARD KARANJA CHOWK</t>
  </si>
  <si>
    <t>AVINASH PRABHAKARRAO BHOPE</t>
  </si>
  <si>
    <t>NEAR SAI MANDIR,HARIRAM NAGAR</t>
  </si>
  <si>
    <t>WARD NO 15,PULGAON,PULGAON</t>
  </si>
  <si>
    <t>WARDHA,MAHARASHTRA</t>
  </si>
  <si>
    <t>GADCHIROLI</t>
  </si>
  <si>
    <t>ASMITA NARAYAN BAMBOLE</t>
  </si>
  <si>
    <t>, bilt unit ashti ko. no.E27 bilt unit ashti ko.</t>
  </si>
  <si>
    <t>no.E27 bilt unit ashti ko. no.E27 bilt unit ashti ko.</t>
  </si>
  <si>
    <t>no.E27</t>
  </si>
  <si>
    <t>BHALCHANDRA RAMBHAU KASWATE</t>
  </si>
  <si>
    <t>S O RAMBHAU KASWATE AT POST CHARUR</t>
  </si>
  <si>
    <t>KHATI 442907 WARORA CHANDRAPUR MAHARASHTRA</t>
  </si>
  <si>
    <t>AATISH V KHEDKAR</t>
  </si>
  <si>
    <t>VISHWASHANTI, MAHAVEER NAGAR,</t>
  </si>
  <si>
    <t>BULDANA</t>
  </si>
  <si>
    <t>BULDHANA MAHARASHTRA</t>
  </si>
  <si>
    <t>SHARDA VIVEK SATAO</t>
  </si>
  <si>
    <t>DESHPANDE GALLI</t>
  </si>
  <si>
    <t>NEAR GANPATI</t>
  </si>
  <si>
    <t>MANDIR</t>
  </si>
  <si>
    <t>MALKAPUR</t>
  </si>
  <si>
    <t>WASHIM</t>
  </si>
  <si>
    <t>UMESH SUKHADEO DOMBALE</t>
  </si>
  <si>
    <t>POST KINHIRAJA TQ MALEGAON</t>
  </si>
  <si>
    <t>KINHIRAJA</t>
  </si>
  <si>
    <t>KAMLESH BALKRISHNA VASTANI</t>
  </si>
  <si>
    <t>AT MAMTA APPT</t>
  </si>
  <si>
    <t>JAIRAM NAGAR</t>
  </si>
  <si>
    <t>AMRAVATI</t>
  </si>
  <si>
    <t>RAVI PRABHAKAR PANDE</t>
  </si>
  <si>
    <t>35, DATTA PROVIJIONS</t>
  </si>
  <si>
    <t>KALOTI NAGAR</t>
  </si>
  <si>
    <t>SEETA KAMLESH VASTANI</t>
  </si>
  <si>
    <t>A 3 MAMATA APARTMENT</t>
  </si>
  <si>
    <t>JAIRAM BABA NAGAR</t>
  </si>
  <si>
    <t>RAJAPETHAMRAVATI</t>
  </si>
  <si>
    <t>SACHIN LAXMANRAO PARE</t>
  </si>
  <si>
    <t>SO LAXMANRAO PARE GANESH</t>
  </si>
  <si>
    <t>NAGAR RANJANGAON SURJI</t>
  </si>
  <si>
    <t>AMRVATI ANJANGAON SURJI</t>
  </si>
  <si>
    <t>PRADIP RAMRAOJI KHODASKAR</t>
  </si>
  <si>
    <t>AT RUKHMINI NAGAR MORSHI</t>
  </si>
  <si>
    <t>MORSHI</t>
  </si>
  <si>
    <t>BURHANPUR</t>
  </si>
  <si>
    <t>GAURAV RAUT</t>
  </si>
  <si>
    <t>WARD NO 15 JILA BURHANPUR</t>
  </si>
  <si>
    <t>JILA BURHANPUR TAHSIL</t>
  </si>
  <si>
    <t>SONIYA HATKAR</t>
  </si>
  <si>
    <t>7 HATKAR BROTHERS,</t>
  </si>
  <si>
    <t>BASANT BIHAR COLONY,</t>
  </si>
  <si>
    <t>NEAR LOKMANYA NAGAR</t>
  </si>
  <si>
    <t>PRAHLAD DAS MODANI</t>
  </si>
  <si>
    <t>387 USHA NAGAR EXTN</t>
  </si>
  <si>
    <t>CHETAN KUMAR DANGI</t>
  </si>
  <si>
    <t>BEHIND GOODWILL PETROL PUMP 3</t>
  </si>
  <si>
    <t>ARJUN NAGAR AB ROAD INDORE</t>
  </si>
  <si>
    <t>RAJENDRA NAGARINDORE MADHYA PRADESH</t>
  </si>
  <si>
    <t>DEWAS</t>
  </si>
  <si>
    <t>Sapna Soni</t>
  </si>
  <si>
    <t>MAKAN NO. 36 A, NEAR RANVEER</t>
  </si>
  <si>
    <t>HANUMAN MANDIR, DEWAS, DEV</t>
  </si>
  <si>
    <t>SHREE NAGAR RADHAGANJ, DEWAS</t>
  </si>
  <si>
    <t>SHAKUNTALA DEVI AGRAWAL</t>
  </si>
  <si>
    <t>33,BHOORI KE ADDE KE SAMNE</t>
  </si>
  <si>
    <t>DAULATGANJ</t>
  </si>
  <si>
    <t>PRASHANT SAHU</t>
  </si>
  <si>
    <t>121 SHASTRI NAGAR 3 NO</t>
  </si>
  <si>
    <t>GULLEY UJJAIN UJJA</t>
  </si>
  <si>
    <t>PRITI BALA MAHESHWARI</t>
  </si>
  <si>
    <t>MAKAN N 75</t>
  </si>
  <si>
    <t>MAHATMA GANDHI MARG</t>
  </si>
  <si>
    <t>PIPLIYA MANDI AKYAPALRA PIPLIAMANDSAUR MADHYA PRADESH</t>
  </si>
  <si>
    <t>HARDA</t>
  </si>
  <si>
    <t>ROHIT RAJPUT</t>
  </si>
  <si>
    <t>23 1 WARD NO 16 TEH SIRALI</t>
  </si>
  <si>
    <t>MUDASEL HARDA</t>
  </si>
  <si>
    <t>BHOPAL</t>
  </si>
  <si>
    <t>OM PRAKASH SONI</t>
  </si>
  <si>
    <t>56/22 BHOPAL G.P TEELA JAMAL PURA</t>
  </si>
  <si>
    <t>NEAR FOOTA MAQBARA BHOPAL</t>
  </si>
  <si>
    <t>HIMANSHU SHARMA</t>
  </si>
  <si>
    <t>234 2 C SHAKET NAGAR BHOPAL</t>
  </si>
  <si>
    <t>MORENA</t>
  </si>
  <si>
    <t>MITHLESH UIKEY</t>
  </si>
  <si>
    <t>H N 154 POLKA COLONY KAROND</t>
  </si>
  <si>
    <t>BERASIA ROAD</t>
  </si>
  <si>
    <t>CHHATARPUR</t>
  </si>
  <si>
    <t>VINOD KUMAR GUPTA .</t>
  </si>
  <si>
    <t>NEAR OLD BIJAWAR</t>
  </si>
  <si>
    <t>NAKA OPP FOREST REST HOUSE</t>
  </si>
  <si>
    <t>ARVIND KUMAR TIWARI</t>
  </si>
  <si>
    <t>NEAR MARIYA MATA SCHOOL</t>
  </si>
  <si>
    <t>CHOWEY COLONY</t>
  </si>
  <si>
    <t>GUNA</t>
  </si>
  <si>
    <t>VIVEK GOSWAMI</t>
  </si>
  <si>
    <t>108 NEW CITY COLONY NEAR</t>
  </si>
  <si>
    <t>SHIV MANDIR WARD NO 02</t>
  </si>
  <si>
    <t>GAURAV MISHRA</t>
  </si>
  <si>
    <t>451, city center hargovind puram city center</t>
  </si>
  <si>
    <t>BRIJMOHAN LAL SARASWAT</t>
  </si>
  <si>
    <t>KESHO BAG GHASMANDI NAG</t>
  </si>
  <si>
    <t>MAHALA LOHA MANDI</t>
  </si>
  <si>
    <t>GWALIOR GIRDGWALIOR MADHYA PRADESH</t>
  </si>
  <si>
    <t>AJAY TALREJA</t>
  </si>
  <si>
    <t>BEHIND PATEL PETROL PUMP KASH</t>
  </si>
  <si>
    <t>ABHINAV SHARMA</t>
  </si>
  <si>
    <t>KDJ HOSPITAL BARADARI CROSSING</t>
  </si>
  <si>
    <t>MORAR</t>
  </si>
  <si>
    <t>GWALIOR MADHYA PRADESHINDIA</t>
  </si>
  <si>
    <t>RAJEEV RAHUL</t>
  </si>
  <si>
    <t>R2BANKERS COLONYNEAR</t>
  </si>
  <si>
    <t>SHAKUNTALAPURITHATIPURGIRD</t>
  </si>
  <si>
    <t>GWALIORR K PURI GWALIOR</t>
  </si>
  <si>
    <t>SHYAM GOSWAMI</t>
  </si>
  <si>
    <t>106 IN FRONT OF MEERA PERMI</t>
  </si>
  <si>
    <t>NURSING HOME OLD HB COLONY</t>
  </si>
  <si>
    <t>MORENA MORENA MORENA MORENA</t>
  </si>
  <si>
    <t>HARIHAR VYAS</t>
  </si>
  <si>
    <t>WARD NO 05 SADAR BAJAR GANJ</t>
  </si>
  <si>
    <t>AMBAH</t>
  </si>
  <si>
    <t>DEEPESH GOLASH</t>
  </si>
  <si>
    <t>S/OVedprakash Golash post office ke samne</t>
  </si>
  <si>
    <t>BHIND</t>
  </si>
  <si>
    <t>PRIYANKA SHRIVASTAVA</t>
  </si>
  <si>
    <t>401 LAL BAHADUR SHASTRI WARD</t>
  </si>
  <si>
    <t>NO9 BHIND</t>
  </si>
  <si>
    <t>CHHINDWARA</t>
  </si>
  <si>
    <t>KAMLESH BANAIT</t>
  </si>
  <si>
    <t>234 WARD NO 11 TILAK WARD</t>
  </si>
  <si>
    <t>PANDHURNAGUJARI PANDHURNA</t>
  </si>
  <si>
    <t>PRASAD GOPALA PANICKER</t>
  </si>
  <si>
    <t>DUPLEX NO 17 SATYA VIHAR NARMA</t>
  </si>
  <si>
    <t>RD OLD BUS DIPO NO2 BANARASI D</t>
  </si>
  <si>
    <t>GORKHAPURJABALPUR MADHYA PRADESH</t>
  </si>
  <si>
    <t>Arun Mahawar</t>
  </si>
  <si>
    <t>HOUSE NUMBER- 695, SHANKAR</t>
  </si>
  <si>
    <t>SHAH NAGAR WARD, RAMNAGAR</t>
  </si>
  <si>
    <t>RAMPUR, JABALPUR</t>
  </si>
  <si>
    <t>RAHUL KANJANI</t>
  </si>
  <si>
    <t>WARD NO 11 Q NO 3/4 DURGA</t>
  </si>
  <si>
    <t>COLONY BEHIND S BANGLOW</t>
  </si>
  <si>
    <t>SHAHDOL SOHAGPUR SHAHDOLSOHAGPUR MADHYA PRADESH</t>
  </si>
  <si>
    <t>SHAHDOL</t>
  </si>
  <si>
    <t>PRASOON KUMAR MISHRA</t>
  </si>
  <si>
    <t>616 NAGAR SHAHDOL WARD NO 6</t>
  </si>
  <si>
    <t>SHAHDOL SOHAGPUR</t>
  </si>
  <si>
    <t>TEHSILSHOHAGPUR DISTRICT</t>
  </si>
  <si>
    <t>HANSA SINGH SHEKHAWAT</t>
  </si>
  <si>
    <t>E W S 27 28 BANDHAVGARH</t>
  </si>
  <si>
    <t>COLONI SATNA RAGHURAJNAGAR</t>
  </si>
  <si>
    <t>VIVEK SINGH</t>
  </si>
  <si>
    <t>WARD NO.15 CHIBAURA ROAD</t>
  </si>
  <si>
    <t>GRAM-BARTI</t>
  </si>
  <si>
    <t>CHOTI BARTI</t>
  </si>
  <si>
    <t>MAIHAR</t>
  </si>
  <si>
    <t>ASHISH PRAJAPATI</t>
  </si>
  <si>
    <t>Ward no 10 Ghurpura Maihar</t>
  </si>
  <si>
    <t>Nai Basti</t>
  </si>
  <si>
    <t>PRAMIL NIGAM</t>
  </si>
  <si>
    <t>296 KH MOLANA AZAD</t>
  </si>
  <si>
    <t>WARD NO 30 REWA</t>
  </si>
  <si>
    <t>SUMITA BOSE</t>
  </si>
  <si>
    <t>SUBHASH ROAD,RAM NAGAR,</t>
  </si>
  <si>
    <t>SUPELA NR BHILLAI FURNITURE</t>
  </si>
  <si>
    <t>INFRONT OF SHAKUNTALA SCHOOL</t>
  </si>
  <si>
    <t>GHANSHYAM .</t>
  </si>
  <si>
    <t>324Acchoti Acchoti Acchoti Acchoti</t>
  </si>
  <si>
    <t>MOHIT KUMAR</t>
  </si>
  <si>
    <t>S/OKundan Lal Sahu 173bodena bajar chowk bodena</t>
  </si>
  <si>
    <t>ward10 bodena</t>
  </si>
  <si>
    <t>BALOD</t>
  </si>
  <si>
    <t>DHAMTARI</t>
  </si>
  <si>
    <t>RASHMI SAHU</t>
  </si>
  <si>
    <t>W O KHILESHWAR PRASAD SAHU 191</t>
  </si>
  <si>
    <t>WARD 16 ROAD NO 8 TULSIPUR</t>
  </si>
  <si>
    <t>,RAJNANDGAONCHHATTISGARH,INDIA</t>
  </si>
  <si>
    <t>DURGESH VISHNU PADOLE</t>
  </si>
  <si>
    <t>HOUSE NO A 502 WALFORT</t>
  </si>
  <si>
    <t>ENCLAVE 2 RAM KRISHNA CARE HSP</t>
  </si>
  <si>
    <t>PACHPEDI NAKA</t>
  </si>
  <si>
    <t>VISHAL SINGH RAJPUT</t>
  </si>
  <si>
    <t>A-302 RISHABH ENCLAVE WARD</t>
  </si>
  <si>
    <t>NUMBER 46 NEW RAJENDRA NAGAR</t>
  </si>
  <si>
    <t>TELIBANDHA RAIPURRAIPUR CHATTISGARH</t>
  </si>
  <si>
    <t>KAILASH KUMAR JAIPURIA</t>
  </si>
  <si>
    <t>NEAR HP GAS GODOWN</t>
  </si>
  <si>
    <t>GUJRATI COLONY</t>
  </si>
  <si>
    <t>Prem Sundrani</t>
  </si>
  <si>
    <t>HOUSE NO 41, MOTOR STAND WARD,</t>
  </si>
  <si>
    <t>DHAMTARI, WARD NO 13, DHAMTARI</t>
  </si>
  <si>
    <t>ASHOK KUMAR KASHYAP</t>
  </si>
  <si>
    <t>HOUSE NO 11/05 NEAR SEHGAL</t>
  </si>
  <si>
    <t>NURSING HOME</t>
  </si>
  <si>
    <t>CIVIL LINE BILASPUR</t>
  </si>
  <si>
    <t>BILASPUR(CGH)</t>
  </si>
  <si>
    <t>DINESH PRASAD SINGH</t>
  </si>
  <si>
    <t>S O CHANDRA BHUSHANSINGH SAKARI Q</t>
  </si>
  <si>
    <t>NO A 149NATURE CITY PHASE 2 SAKARI 495001</t>
  </si>
  <si>
    <t>BILASPUR</t>
  </si>
  <si>
    <t>MANOJ KUMAR PATEL</t>
  </si>
  <si>
    <t>HOUSE NO.224, BANJIN PALI KUYE</t>
  </si>
  <si>
    <t>KE PASS, RAIGARH, RAIGARH,</t>
  </si>
  <si>
    <t>WARD NO.32, RAIGARH</t>
  </si>
  <si>
    <t>RAIGARH(CGH)</t>
  </si>
  <si>
    <t>SURGUJA</t>
  </si>
  <si>
    <t>RAVI SHANKAR SINGH</t>
  </si>
  <si>
    <t>ward number-09 samari road</t>
  </si>
  <si>
    <t>RADHIKA CHAVAN .</t>
  </si>
  <si>
    <t>HNO 5-8-45, LAKSH BUILDING</t>
  </si>
  <si>
    <t>FATEH SULTAN LANE ABIDS</t>
  </si>
  <si>
    <t>NAMPALLY HYDERABD G P</t>
  </si>
  <si>
    <t>K NAGARAJU .</t>
  </si>
  <si>
    <t>1 8 95 TO 102 FLAT 308 PG ROAD</t>
  </si>
  <si>
    <t>SANGAM RATNA PRABHA</t>
  </si>
  <si>
    <t>63597/ D ANAND</t>
  </si>
  <si>
    <t>NAGAR COLONY</t>
  </si>
  <si>
    <t>SRIKANTH VARMA CHIPPALA</t>
  </si>
  <si>
    <t>FINANCIAL ANALYST</t>
  </si>
  <si>
    <t>LARGE CORPORATE DEPT</t>
  </si>
  <si>
    <t>ANDHRA BANK HEAD OFFICEHYDERABAD</t>
  </si>
  <si>
    <t>MD MAZHER UDDIN .</t>
  </si>
  <si>
    <t>PLOT NO -230 ROYAL COLONY</t>
  </si>
  <si>
    <t>BALAPUR RANGA REDDY DIST ,</t>
  </si>
  <si>
    <t>SAROORNAGAR</t>
  </si>
  <si>
    <t>JINNARAM CHANDRIKA</t>
  </si>
  <si>
    <t>FLAT NO 126 NAKSHATHRA TOWNSHI</t>
  </si>
  <si>
    <t>P SAROORNAGAR MANDAL SARDDR</t>
  </si>
  <si>
    <t>NAGARHYDERABAD TELANGANA</t>
  </si>
  <si>
    <t>DHANANJAY PANDEY .</t>
  </si>
  <si>
    <t>13-2-605 RAHIMPURA PURANAPOO</t>
  </si>
  <si>
    <t>L ASIFNAGAR</t>
  </si>
  <si>
    <t>D PRIYANKA .</t>
  </si>
  <si>
    <t>1-7-33 F NO 302 SRISAI ENCLAVE</t>
  </si>
  <si>
    <t>ST NO 8 SS NAGAR HABSIGUDA SEC</t>
  </si>
  <si>
    <t>UNDERABAD HYDERABAD JAMAIOOSMA</t>
  </si>
  <si>
    <t>ESAKKIAPPAN ARUNACHALAM</t>
  </si>
  <si>
    <t>FLAT NO 203 BLOCK II</t>
  </si>
  <si>
    <t>SRI THIRUMALA HOMES REDDY CLY</t>
  </si>
  <si>
    <t>OLD BOWENPALLYHYDERABAD</t>
  </si>
  <si>
    <t>GADDAM KRISHNA</t>
  </si>
  <si>
    <t>H NO 2 4 28 MACHA BOLLARAM</t>
  </si>
  <si>
    <t>SELECT TALKIES</t>
  </si>
  <si>
    <t>RANGA REDDYHYDERABAD ANDHRA PRADESH</t>
  </si>
  <si>
    <t>MD MAHABOOB .</t>
  </si>
  <si>
    <t>H NO 2-2-1109/59/B</t>
  </si>
  <si>
    <t>CENTRAL EXCISE COLONY</t>
  </si>
  <si>
    <t>BAGH AMBERPET</t>
  </si>
  <si>
    <t>C ROHIT KUMAR</t>
  </si>
  <si>
    <t>7 1 211/A AMEERPET</t>
  </si>
  <si>
    <t>NEAR RELIANCE FRESHHYDERABAD ANDHRA PRADESH</t>
  </si>
  <si>
    <t>SARANG GUPTA</t>
  </si>
  <si>
    <t>7-1-414/30 FLAT NO 505 SAI DH</t>
  </si>
  <si>
    <t>AMAM APARTMENTS SRINIVASA COLO</t>
  </si>
  <si>
    <t>NY EAST AMEERPETHYDERABAD TELANGANA</t>
  </si>
  <si>
    <t>RAJAN KUMAR SHARMA</t>
  </si>
  <si>
    <t>S R T 6 SANATH NAGAR</t>
  </si>
  <si>
    <t>ADI SRAVAN KUDIPUDI .</t>
  </si>
  <si>
    <t>13-1-64-/4 A AVANTHI NAGAR</t>
  </si>
  <si>
    <t>THOTA AGI GLASS FACTORY ROAD</t>
  </si>
  <si>
    <t>MOTHI NAGAR BALANAGAR</t>
  </si>
  <si>
    <t>MANI ROBY</t>
  </si>
  <si>
    <t>SBIRD</t>
  </si>
  <si>
    <t>GACHIBOWLI,</t>
  </si>
  <si>
    <t>LINGAMPALLY P.O.HYDERABAD</t>
  </si>
  <si>
    <t>VARNIKA Y</t>
  </si>
  <si>
    <t>F NO 503 SATYA SAI SUDHA APTS</t>
  </si>
  <si>
    <t>1-10-1/2 ST NO 5 ASHOK NAGAR</t>
  </si>
  <si>
    <t>PRESTIGE SHANTINIKETAN</t>
  </si>
  <si>
    <t>WHITEFIELD MAIN ROAD</t>
  </si>
  <si>
    <t>KALYANA VIGNESH</t>
  </si>
  <si>
    <t>PLOT NO 47 GANESH NAGAR,WEST</t>
  </si>
  <si>
    <t>MARREDPALLY</t>
  </si>
  <si>
    <t>SYED AQUIB .</t>
  </si>
  <si>
    <t>1-4-483 FLAT 202 RAHEEM ARCADE</t>
  </si>
  <si>
    <t>MUSHEERABAD</t>
  </si>
  <si>
    <t>CHAVALI REVATHI SURYA KUMARI</t>
  </si>
  <si>
    <t>10-3-294/1 MEHER KRUPA</t>
  </si>
  <si>
    <t>HUMAYUN NAGAR</t>
  </si>
  <si>
    <t>GAYATHRI BOMMA .</t>
  </si>
  <si>
    <t>H NO 17 1 388 2A B 19 VAN</t>
  </si>
  <si>
    <t>I NAGAR SAIDABAD HYDERABAD</t>
  </si>
  <si>
    <t>RANGA REDDY</t>
  </si>
  <si>
    <t>SRINIVASARAO NITTA</t>
  </si>
  <si>
    <t>VASAVI COLONY</t>
  </si>
  <si>
    <t>PLOT NO 270 B4 SRI LAXMI APARTMENT</t>
  </si>
  <si>
    <t>ROAD NO 9 MAIN ROAD</t>
  </si>
  <si>
    <t>HARITHA VIJAYAGIRI</t>
  </si>
  <si>
    <t>16-11-511/D/249Malak Pet Hyderabad Shalivahana</t>
  </si>
  <si>
    <t>Nagar Malak Pet Hyderabad Near Andhra Bank</t>
  </si>
  <si>
    <t>JAGARLAPUDI RAMNADHA KAUSHIK .</t>
  </si>
  <si>
    <t>8-3-167/D/164/A KALYAN NAGAR</t>
  </si>
  <si>
    <t>PHASE CENTRAL BANK LANE KALYAN</t>
  </si>
  <si>
    <t>NAGAR PHASE 1</t>
  </si>
  <si>
    <t>SRI RAMI REDDY BADDURI</t>
  </si>
  <si>
    <t>H NO 3-5-136 STREET NO 5</t>
  </si>
  <si>
    <t>KRISHNA NAGAR COLONY</t>
  </si>
  <si>
    <t>MOULALI</t>
  </si>
  <si>
    <t>RANGAREDDY</t>
  </si>
  <si>
    <t>P B PATHY</t>
  </si>
  <si>
    <t>FLAT NO 207</t>
  </si>
  <si>
    <t>HAPPY HOMES3 SP NGR</t>
  </si>
  <si>
    <t>Ratna Bala Sunkesula</t>
  </si>
  <si>
    <t>Flat No 201 Swagruha Srinivasa</t>
  </si>
  <si>
    <t>Apartments Ramalayam Street</t>
  </si>
  <si>
    <t>New NallakuntaHyderabad</t>
  </si>
  <si>
    <t>CHINTHAKAYALA NAVEEN KUMAR .</t>
  </si>
  <si>
    <t>H NO 8-3-237/A/1</t>
  </si>
  <si>
    <t>L N NAGAR YOUSUFGUDA</t>
  </si>
  <si>
    <t>ARUNA KUMARI CHALAMALASETTI</t>
  </si>
  <si>
    <t>4-3/148/2/SKR/401</t>
  </si>
  <si>
    <t>SIKHARA BLISS APPARTMENT</t>
  </si>
  <si>
    <t>ATTAPUR HYDERGUDARAJENDRANAGAR RANGAREDDY</t>
  </si>
  <si>
    <t>PASUPARTHI PRAKASH</t>
  </si>
  <si>
    <t>PLOT NO 38 FLAT NO G2</t>
  </si>
  <si>
    <t>VAISHNAVI ENCLAVE</t>
  </si>
  <si>
    <t>PRAGATHI ENCLAVE TIRUMALAGIRI</t>
  </si>
  <si>
    <t>SHAIK SHAFEE .</t>
  </si>
  <si>
    <t>19-2-21/23/54/53/60,BASHARATH,</t>
  </si>
  <si>
    <t>NAGAR,JAHANUMA,CHARMINAR</t>
  </si>
  <si>
    <t>JAHANUMA</t>
  </si>
  <si>
    <t>MITIKIRI DILEEP .</t>
  </si>
  <si>
    <t>FL;AT NO 403 RV AADVIK APARTME</t>
  </si>
  <si>
    <t>SUVASH NAGAR QUTH BULLAPUR PIP</t>
  </si>
  <si>
    <t>LINE ROAD QUTUBULLAPUR IDA JEE</t>
  </si>
  <si>
    <t>MOHAMMED MUBEEN UDDIN .</t>
  </si>
  <si>
    <t>HNO 17-1-259/1 PRAVEEN MANZIL</t>
  </si>
  <si>
    <t>SANTHOSH NAGAR MAMA BAKHTEWUR</t>
  </si>
  <si>
    <t>HUTT SAIDABAD MAMA BAKHTWEAR</t>
  </si>
  <si>
    <t>KALYAN CHAKRAWARTHI K</t>
  </si>
  <si>
    <t>H NO C 38</t>
  </si>
  <si>
    <t>SBH COLONY 16 2 752/129</t>
  </si>
  <si>
    <t>SAIDABADHYDERABAD</t>
  </si>
  <si>
    <t>VENKATA RAO KADAMBALA</t>
  </si>
  <si>
    <t>DEEPTHI VIHAR FT NO 101</t>
  </si>
  <si>
    <t>PANIGIRI COLONY CHITANYAPURI</t>
  </si>
  <si>
    <t>DILSUKNAGARHYDERABAD</t>
  </si>
  <si>
    <t>NARENDER M</t>
  </si>
  <si>
    <t>H NO 1-10-4/10/1</t>
  </si>
  <si>
    <t>KUSHAIGUDA</t>
  </si>
  <si>
    <t>TEJA SRIKAR VUTUKURY</t>
  </si>
  <si>
    <t>1-2-97/60NP/1 YELA REDDY GUDA</t>
  </si>
  <si>
    <t>HI TECH NAGAR COLONY</t>
  </si>
  <si>
    <t>SECUNDERABADHYDERABAD TELANGANA</t>
  </si>
  <si>
    <t>TANMAY TIWARI</t>
  </si>
  <si>
    <t>MCML PROTECTION TECH P LTD</t>
  </si>
  <si>
    <t>1 19 80 42 PL 42 SY NO 503 AND 503</t>
  </si>
  <si>
    <t>VIJAYAPURI COLONYHYDERABAD</t>
  </si>
  <si>
    <t>K.V.RANGAREDDY</t>
  </si>
  <si>
    <t>PRASAD JALIGAMA</t>
  </si>
  <si>
    <t>6 4 274, MIG PHASE 4,NEAR</t>
  </si>
  <si>
    <t>GANESH TEMPLE</t>
  </si>
  <si>
    <t>VANASTHALIPURAMHAYATHANAGAR</t>
  </si>
  <si>
    <t>VIJAY UNNIKRISHNAN</t>
  </si>
  <si>
    <t>H.NO-5-6/137/1/8</t>
  </si>
  <si>
    <t>NAVODAYA COLONY</t>
  </si>
  <si>
    <t>DAYARGUDA KUKATPALLY</t>
  </si>
  <si>
    <t>MADAMSETTY PRANEETH KUMAR</t>
  </si>
  <si>
    <t>8-1-29, FNO 503,</t>
  </si>
  <si>
    <t>JYOTHI NAGAR, VIJETHA ARCADE</t>
  </si>
  <si>
    <t>SAROORNAGAR, K.V RANGAREDDY</t>
  </si>
  <si>
    <t>JUVVATI KARTHIK</t>
  </si>
  <si>
    <t>SO JUVVATI KANAKAIAH 11582</t>
  </si>
  <si>
    <t>NEW BAKARAM GANDHI NAGAR</t>
  </si>
  <si>
    <t>MUSHEERABAD HYDERABAD</t>
  </si>
  <si>
    <t>A SRINIVAS .</t>
  </si>
  <si>
    <t>1-3-176/35/2 TALLABASTI</t>
  </si>
  <si>
    <t>KAVADIGUDA</t>
  </si>
  <si>
    <t>SECUNDERBAD</t>
  </si>
  <si>
    <t>ANAND RASIK MORZARIA</t>
  </si>
  <si>
    <t>FIRST FLOOR SOLITAIRE BUILDING</t>
  </si>
  <si>
    <t>PLOT NO 14 15 INORBIT MALL ROA</t>
  </si>
  <si>
    <t>HI TECH CITY MADHAPUR</t>
  </si>
  <si>
    <t>NIKHIL R SAWANT</t>
  </si>
  <si>
    <t>ACCENTURE SERVICES PVT LTD</t>
  </si>
  <si>
    <t>BUILDING IB RAHEJA IT PARK</t>
  </si>
  <si>
    <t>MADHAPURHYDERABAD</t>
  </si>
  <si>
    <t>SACHIN</t>
  </si>
  <si>
    <t>AINS INDIA PVT LTD 2ND FLOOR</t>
  </si>
  <si>
    <t>2B MAXIMUS TOWER</t>
  </si>
  <si>
    <t>RAHEJA MINDSPACE HITECCITYHYDERABAD TELANGANA</t>
  </si>
  <si>
    <t>SHIVANAGESWARA RAO CHIRUMAMILLA</t>
  </si>
  <si>
    <t>37/20 RAJEEVGRUHA KALPA</t>
  </si>
  <si>
    <t>NIZAMPET</t>
  </si>
  <si>
    <t>KONDA JESSIKA ANGELENA .</t>
  </si>
  <si>
    <t>1-95/A/9/1 PLT NO 9 NEAR ZILLA</t>
  </si>
  <si>
    <t>PARISHAT SCHOOL VEERA REDDY</t>
  </si>
  <si>
    <t>NAGAR BODUPPAL</t>
  </si>
  <si>
    <t>VANDANA MUDUNURI</t>
  </si>
  <si>
    <t>PLOT NO 142 B 3RD FLOOR</t>
  </si>
  <si>
    <t>ESWARIPURI COLONY</t>
  </si>
  <si>
    <t>SECUNDERABAD, RANGAREDDY</t>
  </si>
  <si>
    <t>SRINATH REDDY BARLAPALLY</t>
  </si>
  <si>
    <t>2 31 KOWKUNTLA CHEVELLA</t>
  </si>
  <si>
    <t>BURUGU SADA SHIVA .</t>
  </si>
  <si>
    <t>4-11-52/53/B SAI CLNY KUMMARI</t>
  </si>
  <si>
    <t>KUNTA HAYATHNAGAR KUNTLOOR</t>
  </si>
  <si>
    <t>DONTHI PRAVEENKUMAR GOUD</t>
  </si>
  <si>
    <t>H NO 3 2 148 2 SANGAREDDY</t>
  </si>
  <si>
    <t>NETAJI NAGAR MEDAK</t>
  </si>
  <si>
    <t>SANGAREDDY</t>
  </si>
  <si>
    <t>VISHNU DATTA CHAVA</t>
  </si>
  <si>
    <t>H NO 25-109/F7 R R COLONY RC PURAM</t>
  </si>
  <si>
    <t>RAMACHANDRAPURAM - MEDAK</t>
  </si>
  <si>
    <t>MEDAK</t>
  </si>
  <si>
    <t>SATEESH REDDY POTUGANTI</t>
  </si>
  <si>
    <t>H NO 5 72 75 SIDDIPET MANDALAM</t>
  </si>
  <si>
    <t>ENSANPALLE</t>
  </si>
  <si>
    <t>PALLE MALLESHAM</t>
  </si>
  <si>
    <t>2 78 SADASHIVPET</t>
  </si>
  <si>
    <t>MANDAL</t>
  </si>
  <si>
    <t>ATMAKURMEDAK</t>
  </si>
  <si>
    <t>MOHAMMED RAHEEM PASHA</t>
  </si>
  <si>
    <t>H-NO-3-53, VELMULA,</t>
  </si>
  <si>
    <t>RAMACHANDRAPURAM MANDAL MUTHANGI</t>
  </si>
  <si>
    <t>MEDAK ANDHRA PRADESH</t>
  </si>
  <si>
    <t>PALANCHA SUDHEER TEJA</t>
  </si>
  <si>
    <t>H NO 4-51 KONYAL KONIYAL</t>
  </si>
  <si>
    <t>VOLLELA SHASHI KUMAR</t>
  </si>
  <si>
    <t>H NO 1-4-502 KAMAREDDY</t>
  </si>
  <si>
    <t>PANCHAMUKHI HANUMAN COLONY</t>
  </si>
  <si>
    <t>KAMAREDDY</t>
  </si>
  <si>
    <t>RAMAKRISHNA GUNDA</t>
  </si>
  <si>
    <t>RK SELECTIONS NEAR VEG MARKET</t>
  </si>
  <si>
    <t>PANDARINATH TEXTILES LINE</t>
  </si>
  <si>
    <t>VINUTHNA PINDI</t>
  </si>
  <si>
    <t>ST2-413 Centenary Colony</t>
  </si>
  <si>
    <t>RACHARLA RAJU .</t>
  </si>
  <si>
    <t>HNO 1 43 KANCHERLA KARIMNAGAR</t>
  </si>
  <si>
    <t>VEERLAPALLI</t>
  </si>
  <si>
    <t>SRINIVAS NYALAPATLA</t>
  </si>
  <si>
    <t>LINGMAPALLY H NO 3 1</t>
  </si>
  <si>
    <t>VEMULAWADA</t>
  </si>
  <si>
    <t>CHEPURI DINESH .</t>
  </si>
  <si>
    <t>13 54 POTHUGAL MUTABAD</t>
  </si>
  <si>
    <t>AMARENDAR VITTU</t>
  </si>
  <si>
    <t>2-45 MANCHARLA</t>
  </si>
  <si>
    <t>PEGADAPALLE</t>
  </si>
  <si>
    <t>WARANGAL</t>
  </si>
  <si>
    <t>B NIRANJAN REDDY .</t>
  </si>
  <si>
    <t>HNO 11-58 APPIREDDYPELLY DEVAR</t>
  </si>
  <si>
    <t>UPPULA WARANGAL</t>
  </si>
  <si>
    <t>KHAMMAM</t>
  </si>
  <si>
    <t>YANNAMALLA LALITHA .</t>
  </si>
  <si>
    <t>2 44 YATAPAKA BHADRACHALAM</t>
  </si>
  <si>
    <t>VEERAVENKATA RAMANA POLNATI</t>
  </si>
  <si>
    <t>QTR NO.E-608 A.P GENCO COLONY</t>
  </si>
  <si>
    <t>OLD PALWANCHA OPP SILL</t>
  </si>
  <si>
    <t>CAMPUS PALWANCHA PALONCHA</t>
  </si>
  <si>
    <t>KOTHAGUDEM</t>
  </si>
  <si>
    <t>NALGONDA</t>
  </si>
  <si>
    <t>NAZEERUDDIN MD .</t>
  </si>
  <si>
    <t>3-263/4/1/A, ANAYANAGAR</t>
  </si>
  <si>
    <t>MADEENAM MASEED ROAD KODAD</t>
  </si>
  <si>
    <t>MANDALAM KODAD NALGONDA</t>
  </si>
  <si>
    <t>CHIMATA BALAKRISHNA</t>
  </si>
  <si>
    <t>3 71 1 KASIM PETA CHIVEMLA</t>
  </si>
  <si>
    <t>MANDALAM DURAJ PALLE</t>
  </si>
  <si>
    <t>DURAJ PALLYNALGONDA TELANGANA</t>
  </si>
  <si>
    <t>VIJAYAWADA</t>
  </si>
  <si>
    <t>ESHWARAIAH GURRAM</t>
  </si>
  <si>
    <t>H NO 3-73/4</t>
  </si>
  <si>
    <t>KONDA MALLEPALLY</t>
  </si>
  <si>
    <t>DEVARAKONDA MANDALNALGONDA</t>
  </si>
  <si>
    <t>PADMA KUDIKALA</t>
  </si>
  <si>
    <t>5-109 NARAYANPUR</t>
  </si>
  <si>
    <t>NARAYANAPUR</t>
  </si>
  <si>
    <t>BHASKAR SUREDDY</t>
  </si>
  <si>
    <t>YADADRI BHONAGIR</t>
  </si>
  <si>
    <t>MOTAKUNDURMOTAKUNDUR</t>
  </si>
  <si>
    <t>KAMATHAM VIJAYA</t>
  </si>
  <si>
    <t>H NO 8 3 27/6/2 METTUGADDA</t>
  </si>
  <si>
    <t>MAHABUBNAGAR MAHABUBNAGAR</t>
  </si>
  <si>
    <t>MAHABUBNAGAR TELANGANA</t>
  </si>
  <si>
    <t>KISHORE KUMAR KAUKUNTLA</t>
  </si>
  <si>
    <t>3321 PAGIDYAL PAGIDYAL</t>
  </si>
  <si>
    <t>GANDEED RAN</t>
  </si>
  <si>
    <t>ANANTAPUR</t>
  </si>
  <si>
    <t>MEHTHA CHAMPALAL UKKI BAI</t>
  </si>
  <si>
    <t>14-262 , KAMALA NAGAR</t>
  </si>
  <si>
    <t>VISWBRAHMANA PAVANKUMAR</t>
  </si>
  <si>
    <t>6 5 187 MARUTHI NAGAR MARUTHI</t>
  </si>
  <si>
    <t>NAGAR EXTENSION VENKATRAO</t>
  </si>
  <si>
    <t>NAGAR ANANTAPUR</t>
  </si>
  <si>
    <t>KHADEER T</t>
  </si>
  <si>
    <t>28-4-803 ENGG COLLEGE ROAD</t>
  </si>
  <si>
    <t>SBI COLONY</t>
  </si>
  <si>
    <t>AJAYKUMAR REDDY BUSIREDDY</t>
  </si>
  <si>
    <t>1-140, Ipperu Ipperu Ipperu Ipperu Ipperu</t>
  </si>
  <si>
    <t>DIXIT GURJAPALLI KAMSALA</t>
  </si>
  <si>
    <t>L I G 10 HOUSING BOARD</t>
  </si>
  <si>
    <t>COLONY, HOUSING BOARD COLONY</t>
  </si>
  <si>
    <t>K HARSHAVARDHAN REDDY .</t>
  </si>
  <si>
    <t>HOUSE 56/45 STR AKAYAPALLI</t>
  </si>
  <si>
    <t>LANDMARK NG AREA/LOCALITY/SEC</t>
  </si>
  <si>
    <t>AKKAYA PALLI PO RAVINDRA NGR</t>
  </si>
  <si>
    <t>KADAPA</t>
  </si>
  <si>
    <t>ADDEPALLI REKHA</t>
  </si>
  <si>
    <t>32 45 A POLIMERAPALLI T</t>
  </si>
  <si>
    <t>SUNDUPALLE BUDIDAGUTA</t>
  </si>
  <si>
    <t>RACHAPALLE</t>
  </si>
  <si>
    <t>R T NAGAR</t>
  </si>
  <si>
    <t>OBAIAH PUJANABOINA</t>
  </si>
  <si>
    <t>D NO 12 245 1 BHAVANI NAGAR</t>
  </si>
  <si>
    <t>CHENNURCUDDAPAH</t>
  </si>
  <si>
    <t>RAMU M</t>
  </si>
  <si>
    <t>8/242</t>
  </si>
  <si>
    <t>SRIRAMULA PETA</t>
  </si>
  <si>
    <t>PRODDATURPRODDATUR</t>
  </si>
  <si>
    <t>CHITTOOR</t>
  </si>
  <si>
    <t>PARASU HEMANTH</t>
  </si>
  <si>
    <t>7-370 JANDAMAN STREET</t>
  </si>
  <si>
    <t>S UDAY KUMAR .</t>
  </si>
  <si>
    <t>3-714/A BAZAAR STREET GREA</t>
  </si>
  <si>
    <t>MSPET CHITTOOR</t>
  </si>
  <si>
    <t>.CHITTOOR ANDHRA PRADESH</t>
  </si>
  <si>
    <t>NALLAKUKKALA INDRAJA</t>
  </si>
  <si>
    <t>DO N DHANAVELU 0000</t>
  </si>
  <si>
    <t>BALIREDDY KANDRIGA BALIREDDY</t>
  </si>
  <si>
    <t>KANDRIGA KARVETINAGAR</t>
  </si>
  <si>
    <t>KURNOOL</t>
  </si>
  <si>
    <t>B ESWAR RAO</t>
  </si>
  <si>
    <t>H NO 41-186</t>
  </si>
  <si>
    <t>KOTHA PETA</t>
  </si>
  <si>
    <t>ROAD</t>
  </si>
  <si>
    <t>SAMEER GOLD</t>
  </si>
  <si>
    <t>H NO 80/11/112 G15 A ABBAS NAGAR</t>
  </si>
  <si>
    <t>ANDHRA PRADESHINDIA</t>
  </si>
  <si>
    <t>A NAGESWARA RAO</t>
  </si>
  <si>
    <t>H NO 45 142 L3B FIRST FLOOR</t>
  </si>
  <si>
    <t>RAMALINGESWARA NGR RD 2</t>
  </si>
  <si>
    <t>ABOVE R S BAKERY</t>
  </si>
  <si>
    <t>MYSOORA REDDY NARLA</t>
  </si>
  <si>
    <t>1167 CHANUGONDLA CHANUGONDLA</t>
  </si>
  <si>
    <t>KUNIGIRI MANIKANTA</t>
  </si>
  <si>
    <t>15/461/A victoria Pet</t>
  </si>
  <si>
    <t>ADONI</t>
  </si>
  <si>
    <t>SUREKHA KAMAVARAM .</t>
  </si>
  <si>
    <t>H.NO.21/38/1, S K D COLONY</t>
  </si>
  <si>
    <t>4TH ROAD, ADONI</t>
  </si>
  <si>
    <t>MURALI MOHAN KAMAVARAM .</t>
  </si>
  <si>
    <t>C/O- SHARADA TEXTILES 12 760</t>
  </si>
  <si>
    <t>P N ROAD OPPOSITE 1 TOWN</t>
  </si>
  <si>
    <t>POLICE STATION ADONI</t>
  </si>
  <si>
    <t>ARVETI RAJA RATHNAM</t>
  </si>
  <si>
    <t>2 516 31 MARUTHI TOWN SHIP</t>
  </si>
  <si>
    <t>BALAJI COMPLEX NANDYAL</t>
  </si>
  <si>
    <t>AMARESH KOTHAMASUM</t>
  </si>
  <si>
    <t>19/34</t>
  </si>
  <si>
    <t>MEDAM STREET</t>
  </si>
  <si>
    <t>NANDYAL</t>
  </si>
  <si>
    <t>SRINIVASA NAGAR</t>
  </si>
  <si>
    <t>GUTHI RAVI TEJA</t>
  </si>
  <si>
    <t>19.53B</t>
  </si>
  <si>
    <t>GUDIPATTI GADDA</t>
  </si>
  <si>
    <t>NANDYALKURNOOL</t>
  </si>
  <si>
    <t>BURRI JASWANTH SADUP KUMAR</t>
  </si>
  <si>
    <t>H.NO.-G1,ANJALI APTS NEAR</t>
  </si>
  <si>
    <t>AMALI SCHOOL MUTYALAMPADU</t>
  </si>
  <si>
    <t>VIJAYAWADA URBAN</t>
  </si>
  <si>
    <t>BANDELA CHAKRAVARTHY</t>
  </si>
  <si>
    <t>H NO 43-123-25 E</t>
  </si>
  <si>
    <t>NEW SINGH NAGAR</t>
  </si>
  <si>
    <t>VIJAYAWADAKRISHNA DIST</t>
  </si>
  <si>
    <t>GANESH MAMIDI</t>
  </si>
  <si>
    <t>SO RAJESWARA RAO 6 84</t>
  </si>
  <si>
    <t>JAVVARPETA MACHILIPATNAM</t>
  </si>
  <si>
    <t>DAMMU PEDDANNA</t>
  </si>
  <si>
    <t>20-579-18, MACHILIPATNAM</t>
  </si>
  <si>
    <t>CHILAKALAPUDI</t>
  </si>
  <si>
    <t>CHILAKALAPUDIKRISHNA ANDHRA PRADESH</t>
  </si>
  <si>
    <t>JAGADEESHPOLAVARAPU . .</t>
  </si>
  <si>
    <t>6-139 VASANTHA NAGAR OPP</t>
  </si>
  <si>
    <t>ENGINEERING COLLEGE</t>
  </si>
  <si>
    <t>TADIGADAPA</t>
  </si>
  <si>
    <t>MADDALI PRASANT BABU .</t>
  </si>
  <si>
    <t>INCONTAX QURTRS GUDIVADA</t>
  </si>
  <si>
    <t>OPP BHASKARA TALKIES</t>
  </si>
  <si>
    <t>GUNTUR</t>
  </si>
  <si>
    <t>APPARAO THUNUGUNTLA</t>
  </si>
  <si>
    <t>Door Number 5-60-2/209 4/1 Lane Ashok Nagar</t>
  </si>
  <si>
    <t>JAINABEE . .</t>
  </si>
  <si>
    <t>14 4 79 4TH LINE POTHURUVARI</t>
  </si>
  <si>
    <t>THOTA GUNTUR</t>
  </si>
  <si>
    <t>SHAIK MUMTAZ BEGUM</t>
  </si>
  <si>
    <t>30-1-27/1 BRODIPETA 5/7</t>
  </si>
  <si>
    <t>ONGOLE</t>
  </si>
  <si>
    <t>CHALAVADI PRABHU SURESH KUMAR .</t>
  </si>
  <si>
    <t>H NO-24-21-6 NALLACHERUVU 10TH</t>
  </si>
  <si>
    <t>LINE SANISETTY VENKATESWARLU</t>
  </si>
  <si>
    <t>HOUSE NALLACHERUVU GUNTUR BAZA</t>
  </si>
  <si>
    <t>BALAJI NAGAR</t>
  </si>
  <si>
    <t>NARAYANA RAO MAMIDI</t>
  </si>
  <si>
    <t>RAMAKRISHNA RAO 25-17-14-6/2</t>
  </si>
  <si>
    <t>SRINIVASARAO THOTA</t>
  </si>
  <si>
    <t>ARUNA KOTHAMASU .</t>
  </si>
  <si>
    <t>6-5-24,1st FLOOR</t>
  </si>
  <si>
    <t>CHUNDURI VARI STREET</t>
  </si>
  <si>
    <t>GANGANAMMPET</t>
  </si>
  <si>
    <t>RAVI TEJA KATTAMURI</t>
  </si>
  <si>
    <t>11-29,JANAPADU ROAD</t>
  </si>
  <si>
    <t>K V B GANESH</t>
  </si>
  <si>
    <t>S/O APPALA NAIDU</t>
  </si>
  <si>
    <t>NARASARAOPET ENGG COLLEGE</t>
  </si>
  <si>
    <t>NARASARAOPET</t>
  </si>
  <si>
    <t>SRINIVASA RAO KARADI</t>
  </si>
  <si>
    <t>CHINTHAPALLI PO KOREMPUDI MDI</t>
  </si>
  <si>
    <t>GUNTUR DIST</t>
  </si>
  <si>
    <t>GUNTURANDHRA PRADESH</t>
  </si>
  <si>
    <t>PAMMI SEETARAMIREDDY .</t>
  </si>
  <si>
    <t>3 02 CHEJARLA NAKARIKALLU</t>
  </si>
  <si>
    <t>RAVULAPALLI SRINIVASARAO</t>
  </si>
  <si>
    <t>3-178</t>
  </si>
  <si>
    <t>G B V A SESHU BABU .</t>
  </si>
  <si>
    <t>H.NO.35-1-48(35)16</t>
  </si>
  <si>
    <t>DEVUDU CHERUVU PRAKASAM DIST</t>
  </si>
  <si>
    <t>NEAT HOUSEING BOARD COLONY</t>
  </si>
  <si>
    <t>PRAKASAM</t>
  </si>
  <si>
    <t>SHAIK BABU</t>
  </si>
  <si>
    <t>GONGULAVARI ROAD PIDATALAVARI</t>
  </si>
  <si>
    <t>VEEDI CHIMAKURTHI CHIMAKURTY</t>
  </si>
  <si>
    <t>PRAKASAMPRAKASAM ANDHRA PRADESH</t>
  </si>
  <si>
    <t>LOKIREDDY KANAKA REDDY</t>
  </si>
  <si>
    <t>3-59 LAKKAVARAM TALLUR NEAR</t>
  </si>
  <si>
    <t>RAMALAYAM TEMPLE LAKKAVARAM</t>
  </si>
  <si>
    <t>PRIYANKA AKKISETTY</t>
  </si>
  <si>
    <t>1-194-E2, Near Busstand Pula Subbaiah Street Near Busst</t>
  </si>
  <si>
    <t>Near Sub Post Office</t>
  </si>
  <si>
    <t>Khandle Siva Kumar</t>
  </si>
  <si>
    <t>4-65A, INDIRA NAGAR, PEDDA</t>
  </si>
  <si>
    <t>DORNALA, INDIRA NAGAR, INDIRA</t>
  </si>
  <si>
    <t>NAGAR, PRAKASAM</t>
  </si>
  <si>
    <t>VENKATA RAMESH YASAM</t>
  </si>
  <si>
    <t>5 275 KOMAROLU</t>
  </si>
  <si>
    <t>,KOMAROLE,PRAKASAM</t>
  </si>
  <si>
    <t>NILGIRIS</t>
  </si>
  <si>
    <t>NELLORE</t>
  </si>
  <si>
    <t>R SUJATHA .</t>
  </si>
  <si>
    <t>27-6-41 AC NAGAR NELLORE STONE</t>
  </si>
  <si>
    <t>HOUSEP</t>
  </si>
  <si>
    <t>27-6-41 AC NAGAR</t>
  </si>
  <si>
    <t>MUTTIMBAKA EMMANUEL BABU</t>
  </si>
  <si>
    <t>S/O MUTTIMBAKA PENCHALAIAH LATE</t>
  </si>
  <si>
    <t>24/651 RAMAYABADI DAGGARA</t>
  </si>
  <si>
    <t>MULAPETA NELLORE DARGAMITTANELLORE</t>
  </si>
  <si>
    <t>SUBRAHMANYAM BEJAWADA</t>
  </si>
  <si>
    <t>H NO 3-11-15/5</t>
  </si>
  <si>
    <t>SRIRAM NAGAR</t>
  </si>
  <si>
    <t>VINNAMALA</t>
  </si>
  <si>
    <t>MADDIREDDY ASHOK REDDY</t>
  </si>
  <si>
    <t>2-10-75/11 SANTHINGAR 4TH</t>
  </si>
  <si>
    <t>STREET KOVUR</t>
  </si>
  <si>
    <t>NARENDRA RAJU SORNAPUDI</t>
  </si>
  <si>
    <t>26-14-184 ganaganala vari veedhi velampeta</t>
  </si>
  <si>
    <t>S/O - Sornapudi Kanna Rao - 26-14- S/O -</t>
  </si>
  <si>
    <t>D SREEKANTH</t>
  </si>
  <si>
    <t>9 36 20 PITHAPURAM</t>
  </si>
  <si>
    <t>COLONY NEAR ROTARY CLUB</t>
  </si>
  <si>
    <t>VISAKHAPATNAMANDHRA PRADESH INDIA</t>
  </si>
  <si>
    <t>CHEBOLU SATYAPRASAD</t>
  </si>
  <si>
    <t>3-5-22 G A COLONY B H P V</t>
  </si>
  <si>
    <t>MINDI POST GAJUVAKA</t>
  </si>
  <si>
    <t>MINDI VISAKHAPATNAM</t>
  </si>
  <si>
    <t>KALLA CHAITANYA</t>
  </si>
  <si>
    <t>53-29-8/1 KRM COLONY SEETHAMMADHARA</t>
  </si>
  <si>
    <t>AJAY CHOPRA .</t>
  </si>
  <si>
    <t>FLAT NO.2/1,</t>
  </si>
  <si>
    <t>PLOT NO.17, KIRLAPUDI,</t>
  </si>
  <si>
    <t>LAY OUT,</t>
  </si>
  <si>
    <t>AZGER HUSSAIN MIR .</t>
  </si>
  <si>
    <t>PLOT NO 34 SECTOR 12 MVPCOLONY</t>
  </si>
  <si>
    <t>DOOR NO 1 116 12 1 3</t>
  </si>
  <si>
    <t>RAVI KISHORE VANA</t>
  </si>
  <si>
    <t>D.NO 55-4-15/4/17,</t>
  </si>
  <si>
    <t>VUDA APARTMENTS,SEETHAMMADHARA</t>
  </si>
  <si>
    <t>LM LIC DIVISIONAL OFFICE D-BOLCK 305VISAKHAPATNAM,ANDHRA PRADESH</t>
  </si>
  <si>
    <t>SAKKURI RAVI BABU</t>
  </si>
  <si>
    <t>11 42 SIVALAYAM VEEDHI NR</t>
  </si>
  <si>
    <t>SIVALAYAM GUDI GOPALAPATNAM</t>
  </si>
  <si>
    <t>RURAL PRAHLADAPURAMVISAKHAPATNAM ANDHRA PRADESH</t>
  </si>
  <si>
    <t>PASUMARTI KRISHNA MOHAN</t>
  </si>
  <si>
    <t>PLOT NO 198</t>
  </si>
  <si>
    <t>D NO 10/141/2</t>
  </si>
  <si>
    <t>VISALAKSHINAGARVISAKHAPATNAM</t>
  </si>
  <si>
    <t>NARASINGARAO KOONA</t>
  </si>
  <si>
    <t>14 43 52 1 GODDUVANIPALEM</t>
  </si>
  <si>
    <t>PEDAGANTYADA</t>
  </si>
  <si>
    <t>BENNABHAKTULA LAKSHMI SATYAVATHI</t>
  </si>
  <si>
    <t>LIG-25 VUDA NAGAR PHASE-1</t>
  </si>
  <si>
    <t>RAJEEV NAGAR</t>
  </si>
  <si>
    <t>NEAR DUVVADA FLY OVERVISAKHAPATNAM</t>
  </si>
  <si>
    <t>TAMILNADU</t>
  </si>
  <si>
    <t>Sidagam Ganesh</t>
  </si>
  <si>
    <t>S O SIDAGAM SATHIBABU</t>
  </si>
  <si>
    <t>9 16 10 GE VEEDHI</t>
  </si>
  <si>
    <t>PARAMESWARARAO KESAMSETTI</t>
  </si>
  <si>
    <t>DR NO 1-10</t>
  </si>
  <si>
    <t>GARNIKAM VILLAGE</t>
  </si>
  <si>
    <t>RAVIKAMATHAMVISAKHAPATNAM ANDHRA PRADESH</t>
  </si>
  <si>
    <t>VIJAYA KUMARI MANDA</t>
  </si>
  <si>
    <t>4-135 SIMHADRINAGAR VALIMERAKA JUTHADA</t>
  </si>
  <si>
    <t>BEHIND VISAKHA DAIRY</t>
  </si>
  <si>
    <t>SRIKAKULAM</t>
  </si>
  <si>
    <t>MADDI RAMANA</t>
  </si>
  <si>
    <t>3-47 S.M. PURAM MAIN STREET</t>
  </si>
  <si>
    <t>SHER MOHAMMAD PURAM</t>
  </si>
  <si>
    <t>EAST GODAVARI</t>
  </si>
  <si>
    <t>BHAGYA LAKSHMI BODA</t>
  </si>
  <si>
    <t>6 8 11 NIDAMARTHI VARI STREET</t>
  </si>
  <si>
    <t>VISVESWARA SWAMI TEMPLE</t>
  </si>
  <si>
    <t>MAIN ROAD URBAN EAST GODAVARI</t>
  </si>
  <si>
    <t>RAJAHMUNDRY</t>
  </si>
  <si>
    <t>VATTIKUTI RAVITEJA .</t>
  </si>
  <si>
    <t>3-96/3 RAMALAYAM STREET KADIYA</t>
  </si>
  <si>
    <t>-M MANDALAM MURAMANDA EAST</t>
  </si>
  <si>
    <t>GODAVARI MURAMANDA</t>
  </si>
  <si>
    <t>VENKATESWARARAO GANISETTI</t>
  </si>
  <si>
    <t>4 57 0 MAREMMA GUDI STREET</t>
  </si>
  <si>
    <t>VADAPALEM KOTHAPETA</t>
  </si>
  <si>
    <t>KOTHAPETA</t>
  </si>
  <si>
    <t>TATA VVSV PAVAN KUMAR</t>
  </si>
  <si>
    <t>NO 3-96 LAKSHMI GANAPATHI STREET</t>
  </si>
  <si>
    <t>MUNGANDA P GANNAVARAM</t>
  </si>
  <si>
    <t>EAST GODAVRIGODAVRI</t>
  </si>
  <si>
    <t>MOWNIKA CHITTALA</t>
  </si>
  <si>
    <t>1 62 KATTIMANDA CHITTALA VARI</t>
  </si>
  <si>
    <t>MERAKA MALIKIPURAM MANDALAM</t>
  </si>
  <si>
    <t>KATTIWANDA</t>
  </si>
  <si>
    <t>AKHILA KOTTHA</t>
  </si>
  <si>
    <t>9-204</t>
  </si>
  <si>
    <t>RAMESH BATCHU</t>
  </si>
  <si>
    <t>RAO AND RAJU CLOTH CENTER</t>
  </si>
  <si>
    <t>MAIN ROAD PITHAPURAM</t>
  </si>
  <si>
    <t>EAST GODAVARIANDHRA PRADESH</t>
  </si>
  <si>
    <t>GANAPATHIRAO M</t>
  </si>
  <si>
    <t>11 10 SATAVAHANA NAGAR GAVARAVARAM</t>
  </si>
  <si>
    <t>WEST GODAVARI</t>
  </si>
  <si>
    <t>,ELURUANDHRA PRADESH,INDIA</t>
  </si>
  <si>
    <t>NAGA LAKSHMI RONGALA</t>
  </si>
  <si>
    <t>W/O RONGALA RAMA MOHANA RAO</t>
  </si>
  <si>
    <t>H NO 9-85/1, SRIRAM NAGAR, 7</t>
  </si>
  <si>
    <t>TH ROAD ELURU MANDALAM,</t>
  </si>
  <si>
    <t>RONGALA RAMA MOHANA RAO</t>
  </si>
  <si>
    <t>H NO-9-85/1</t>
  </si>
  <si>
    <t>SRI RAM NAGAR</t>
  </si>
  <si>
    <t>NO 7TH ROAD</t>
  </si>
  <si>
    <t>V K PHANI TAGORE NANDULA</t>
  </si>
  <si>
    <t>D NO 27 8 6</t>
  </si>
  <si>
    <t>JEEDIGUNTAVARI STREEET</t>
  </si>
  <si>
    <t>TANUKUWEST GODAVARI ANDHRA PRADESH</t>
  </si>
  <si>
    <t>SANTOSH DEVI</t>
  </si>
  <si>
    <t>NO 4/5 POOJARI CHELUVAIAH LANE S J</t>
  </si>
  <si>
    <t>P ROAD CROSS</t>
  </si>
  <si>
    <t>BENGALURU KARNATAKA</t>
  </si>
  <si>
    <t>RAJENDRA KUMAR S</t>
  </si>
  <si>
    <t>NO 77/20 101 SHIVPRIYA</t>
  </si>
  <si>
    <t>RESIDENCY 6TH MAIN 1ST CROSS</t>
  </si>
  <si>
    <t>GAYATRIDEVI PARK EXT</t>
  </si>
  <si>
    <t>SANDEEP L .</t>
  </si>
  <si>
    <t>#233 1ST MAIN 3RD PHASE</t>
  </si>
  <si>
    <t>MANJUNA THNAGAR BANGALORE</t>
  </si>
  <si>
    <t>NORTH RAJAJINAGAR</t>
  </si>
  <si>
    <t>SUBRAMANIUM RADHAKRISHNAN</t>
  </si>
  <si>
    <t>#2344 10TH MAIN</t>
  </si>
  <si>
    <t>E BLOCK II STAGE RAJAJINAGAR</t>
  </si>
  <si>
    <t>PRASHANTHI HOSAHALLI GOVINDA SETTY</t>
  </si>
  <si>
    <t>#2897 14TH MAIN ROAD</t>
  </si>
  <si>
    <t>E BLOCK 2ND STAGE</t>
  </si>
  <si>
    <t>RAJAJINAGAR BANGALORE NORTHBENGALORE KARNATAKA</t>
  </si>
  <si>
    <t>JAYANTHI POOZHIKUNNATH</t>
  </si>
  <si>
    <t>NO.3</t>
  </si>
  <si>
    <t>1ST MAIN K R GARDEN MURUGESHPALYA</t>
  </si>
  <si>
    <t>ANIL MAGAJI NANDEESH</t>
  </si>
  <si>
    <t>15 3 8TH CROSS 5TH MAIN</t>
  </si>
  <si>
    <t>BHAUVANESHWARI NAGAR KP</t>
  </si>
  <si>
    <t>AGRAHARA BAN NORTH</t>
  </si>
  <si>
    <t>Bangalore</t>
  </si>
  <si>
    <t>SEEMA DSOUZA</t>
  </si>
  <si>
    <t>NO. 6/1, 1ST FLOOR,</t>
  </si>
  <si>
    <t>BHAVANI LAYOUT,</t>
  </si>
  <si>
    <t>HOSUR MAIN ROAD, D R C POST,</t>
  </si>
  <si>
    <t>B PRADEEP D CRUZ</t>
  </si>
  <si>
    <t>1 1 4TH CROSS ADUGODI</t>
  </si>
  <si>
    <t>POST LAKKASANDRA</t>
  </si>
  <si>
    <t>RAMAKANT RAJIV</t>
  </si>
  <si>
    <t>NO 11 3 RD CRS CBI RD</t>
  </si>
  <si>
    <t>GANGANAGAR NORTH RT NAGAR</t>
  </si>
  <si>
    <t>SURUCHI KUMARI .</t>
  </si>
  <si>
    <t>CO SYED MOAMMED K FLAT 2 2ND</t>
  </si>
  <si>
    <t>FLOOR 40 3RD CROSS</t>
  </si>
  <si>
    <t>CHUNCHAPPA BLOCK MA</t>
  </si>
  <si>
    <t>RAJEEV VADAKKETHAYYIL</t>
  </si>
  <si>
    <t>NO 177 GROUND FLOOR SRIRANGA</t>
  </si>
  <si>
    <t>KRUPA 2ND BLOCK6TH MAIN ROAD</t>
  </si>
  <si>
    <t>SHEELA RAMAYANAM</t>
  </si>
  <si>
    <t>#25, Ganganagar Vasantappa Block CB I Road Ganganagar</t>
  </si>
  <si>
    <t>Opp Impact School Ganganagar</t>
  </si>
  <si>
    <t>ROMI SABHARWAL</t>
  </si>
  <si>
    <t>PRESTIGE PINEWOOD FLAT NO 1144</t>
  </si>
  <si>
    <t>TOWER 01 ST BED CAUVERY COLONY</t>
  </si>
  <si>
    <t>BANGALORE SOUTHBENGALURU</t>
  </si>
  <si>
    <t>KAUSHIK TAPAN KUMAR MOOKHARJI</t>
  </si>
  <si>
    <t>#1408 concert H M symphony, off sarjapur road</t>
  </si>
  <si>
    <t>kasavanahalli road off sarjapur road near amrutha</t>
  </si>
  <si>
    <t>College off sarjapur road</t>
  </si>
  <si>
    <t>PARAMESWARAN PILLAI</t>
  </si>
  <si>
    <t>FLAT NO 110 SRIVEN TOWERS 4TH</t>
  </si>
  <si>
    <t>CROSS LAKSHMILAYOUT MUNNEKOLAL</t>
  </si>
  <si>
    <t>RD MARATHAHALL B/H LIONS SEVAB</t>
  </si>
  <si>
    <t>LUMITASWA MEHER</t>
  </si>
  <si>
    <t>NO 704 5TH MAIN</t>
  </si>
  <si>
    <t>LAXMINARAYANA SWAMY LAYOUT</t>
  </si>
  <si>
    <t>MUNNEKOLALA MARATHAHALLI</t>
  </si>
  <si>
    <t>VINIL PADATH</t>
  </si>
  <si>
    <t>NO 406 FOURTH FLOOR</t>
  </si>
  <si>
    <t>BERNESE BLOCK</t>
  </si>
  <si>
    <t>ALPINE ECO DODDANEKUNDIBANGALORE KARNATAKA</t>
  </si>
  <si>
    <t>PRASHANT KUMAR SAXENA</t>
  </si>
  <si>
    <t>204 VRR HERITAGE DODDANEKUNDI</t>
  </si>
  <si>
    <t>OUTER RING ROAD</t>
  </si>
  <si>
    <t>MARATHAHALLIBANGALORE KARNATAKA</t>
  </si>
  <si>
    <t>ASIMA BARIK</t>
  </si>
  <si>
    <t>851 FLAT NO 1 4TH MAIN</t>
  </si>
  <si>
    <t>SHREE LAKSHMI VENKATESWARA NILAYA</t>
  </si>
  <si>
    <t>NR TULSI THEATRE ROAD MARATHALLIBANGALORE KARNATAKA INDIA</t>
  </si>
  <si>
    <t>SYMPHONY FINANCIAL RESEARCH AND ANALYTICS PRIVATE LIMITED</t>
  </si>
  <si>
    <t>841 37TH F CROSS 20TH MN 4TH T BLK</t>
  </si>
  <si>
    <t>JAYANAGAR</t>
  </si>
  <si>
    <t>BANGALOREKARNATAKA,INDIA</t>
  </si>
  <si>
    <t>ANUP KUMAR SWAIN</t>
  </si>
  <si>
    <t>HCL TECHNOLOGIES</t>
  </si>
  <si>
    <t>THE SENATE 33/1</t>
  </si>
  <si>
    <t>ULSOOR ROAD BLUE DIRTBANGALORE</t>
  </si>
  <si>
    <t>KURUGODU SHETTER SANGAMANATH</t>
  </si>
  <si>
    <t>F-73, SANMATHI, 5TH CROSS</t>
  </si>
  <si>
    <t>MANYATA RESIDENCY</t>
  </si>
  <si>
    <t>INSIDE MANYATA TECH PARKBANGALORE KARNATAKA INDIA</t>
  </si>
  <si>
    <t>SASIDHARAN NAIR SREEJITH</t>
  </si>
  <si>
    <t>C 502 ABODH VALMARK</t>
  </si>
  <si>
    <t>GOVIDAPURA HEBBAL</t>
  </si>
  <si>
    <t>SUMIT SUMIT RASTOGI</t>
  </si>
  <si>
    <t>NO 15043</t>
  </si>
  <si>
    <t>MADHUBALA SHARMA</t>
  </si>
  <si>
    <t>19/8 21ST MAIN ROAD BSK</t>
  </si>
  <si>
    <t>IST STAGE 2ND BLOCK</t>
  </si>
  <si>
    <t>BANGALOREKARNATAKA</t>
  </si>
  <si>
    <t>MALLIKA P RAO</t>
  </si>
  <si>
    <t>FLAT NO 6 2ND FLOOR RAJASA APTS</t>
  </si>
  <si>
    <t>77/1 4TH MAIN 15TH CROSS</t>
  </si>
  <si>
    <t>MALLESHWARAMBANGALORE KARNATAKA INDIA</t>
  </si>
  <si>
    <t>SUBRAMANI DHANASHEKAR</t>
  </si>
  <si>
    <t>38, NALINA NILAYA, 2ND MAIN</t>
  </si>
  <si>
    <t>GOVT SCHOOL ROAD, NEAR MOUNT</t>
  </si>
  <si>
    <t>SENORIA SCHOOL, SWATHANTHRA</t>
  </si>
  <si>
    <t>KIRAN KUMAR GOPALSHETTY</t>
  </si>
  <si>
    <t>NO 6 SRI DEVATHA BEERESHWARA NAGAR</t>
  </si>
  <si>
    <t>CHUNCHANGHATT ROAD K KUNTEPOST</t>
  </si>
  <si>
    <t>BANGALORE KARNATAKAINDIA</t>
  </si>
  <si>
    <t>PRASHANTH VIJAYENDRA</t>
  </si>
  <si>
    <t>FLAT 308JS TULIP APARTMENTS5TH</t>
  </si>
  <si>
    <t>MAINANATHAPURAYELAHANKA</t>
  </si>
  <si>
    <t>KRISHNAKUMAR K G .</t>
  </si>
  <si>
    <t>AEGIS LTD GROUND FLOOR COMP</t>
  </si>
  <si>
    <t>MIND TECH PARK EPIP AREA</t>
  </si>
  <si>
    <t>WHITEFIELD BEHIND L&amp;T INFOTECH</t>
  </si>
  <si>
    <t>PRAVEEN PREMACHANDRAN PANIKKASSERY</t>
  </si>
  <si>
    <t>OPPOSITE TO BROOKE BOND WHITEFIELD</t>
  </si>
  <si>
    <t>BANGALORE EASTBANGALORE</t>
  </si>
  <si>
    <t>BANGALORE RURAL</t>
  </si>
  <si>
    <t>GANGAVARAPU SUNDARARAMAYYA</t>
  </si>
  <si>
    <t>PLOT NO 9 CHOWDESHWARI NILAYA</t>
  </si>
  <si>
    <t>11TH MAIN 6TH A CRS SRINIVASA</t>
  </si>
  <si>
    <t>LAYOUT HONGASANDRA</t>
  </si>
  <si>
    <t>GANGAVARAPU SUNDARARAMAYYA .</t>
  </si>
  <si>
    <t>PLOT NO 9, CHOWDESHWARI NILAYA</t>
  </si>
  <si>
    <t>11TH MAIN 6TH A CROSS, SRINIVASA LAYOUT, HONGASANDRA</t>
  </si>
  <si>
    <t>G VAMSHI PRIYA</t>
  </si>
  <si>
    <t>NO.347</t>
  </si>
  <si>
    <t>7TH CROSS DOMLUR LAYOUT</t>
  </si>
  <si>
    <t>AIRPORT ROADBANGALORE</t>
  </si>
  <si>
    <t>G VISHNU PRIYA</t>
  </si>
  <si>
    <t>NO 347 7TH CROSS</t>
  </si>
  <si>
    <t>DOMLUR LAYOUT</t>
  </si>
  <si>
    <t>OLD AIRPORT ROADBANGALORE</t>
  </si>
  <si>
    <t>SHASHI NERLEKERE SUBRAMANYA NADIG</t>
  </si>
  <si>
    <t>114, 6TH MAIN INCOM TAX LAYOUT</t>
  </si>
  <si>
    <t>JYOTI NAGAR</t>
  </si>
  <si>
    <t>BANGALORE (KARNATAKA)</t>
  </si>
  <si>
    <t>SANTHOSH KUMAR M K .</t>
  </si>
  <si>
    <t>BLOCK-A-5 #602 6TH FLOOR ELITE</t>
  </si>
  <si>
    <t>PROMENADE RBI LAYOUT JP NAGAR</t>
  </si>
  <si>
    <t>7YH PHASE</t>
  </si>
  <si>
    <t>RAKESH KANTHARAJAPPA</t>
  </si>
  <si>
    <t>#19 2ND A CROSS K H B COLONY</t>
  </si>
  <si>
    <t>BASAVESHWARANAGAR 1ST STAGE</t>
  </si>
  <si>
    <t>HAVANUR CIRCLE</t>
  </si>
  <si>
    <t>ARNAB SHARMA</t>
  </si>
  <si>
    <t>103 1SR FLOOR SLV HEIGHTS NEAR AMODA VALLAMARK</t>
  </si>
  <si>
    <t>APARTMENTS DODDAKAMMANAHALLI DNP LAYOUT GOTTIGERE</t>
  </si>
  <si>
    <t>VISHWANATHA HULLAR</t>
  </si>
  <si>
    <t>NO - 2511 BANASHANKARI</t>
  </si>
  <si>
    <t>2ND STAGE 26TH CROSS</t>
  </si>
  <si>
    <t>NR BDA COMPLEX</t>
  </si>
  <si>
    <t>DATTATRAY BHAT</t>
  </si>
  <si>
    <t>40 7TH MAIN AVALAHALLI BDA LAYOUT</t>
  </si>
  <si>
    <t>RANJIT ADYANTHAYA</t>
  </si>
  <si>
    <t>002 LAKSHMI PARADISE</t>
  </si>
  <si>
    <t>2ND CROSS A SECTOR AMRUTHANAGAR</t>
  </si>
  <si>
    <t>NEAR GODREJ PROPERTIES</t>
  </si>
  <si>
    <t>KALPANA JHADI</t>
  </si>
  <si>
    <t>SRINIVAS NILAYA DWELLING 28</t>
  </si>
  <si>
    <t>SG PALYA CV RAMAN NAGAR POST</t>
  </si>
  <si>
    <t>SHRUTHI NARENDRA KOTIAN</t>
  </si>
  <si>
    <t>NO 157 5TH MAIN 8TH CROSS</t>
  </si>
  <si>
    <t>IDEAL HOMES 1 PHASE</t>
  </si>
  <si>
    <t>R R NAGARBANGALROE</t>
  </si>
  <si>
    <t>SHANMUGAM</t>
  </si>
  <si>
    <t>NO-8/3 RAJESHWERI NILAYA</t>
  </si>
  <si>
    <t>1ST BLOCK KENCHANAHALLI</t>
  </si>
  <si>
    <t>NEAR RAJESHWARI TEMPLEBANGALORE</t>
  </si>
  <si>
    <t>GOKUL LAKSHMANAN LAKSHMANAN PALANIAPPAN</t>
  </si>
  <si>
    <t>NO B 101 STONE OAKS APARTMENTS NO 25/50</t>
  </si>
  <si>
    <t>NAGANATHAPURA HOSA ROAD NAGANATHAPURA</t>
  </si>
  <si>
    <t>Naganathapura</t>
  </si>
  <si>
    <t>JAWAHAR T</t>
  </si>
  <si>
    <t>HCL TECHNOLOGIES LTD PLOT NO 3 SURYA</t>
  </si>
  <si>
    <t>SAPPHIRE EC 1ST PHS HOSUR ROAD</t>
  </si>
  <si>
    <t>VENNAPUSA MALAKONDA REDDY .</t>
  </si>
  <si>
    <t>JUBILANT FOODWORKS LTD,</t>
  </si>
  <si>
    <t>FORMERLY DOMINO'S PIZZA I LTD,</t>
  </si>
  <si>
    <t>#1573 1ST FLR,SEC 1 AGRA HSR L</t>
  </si>
  <si>
    <t>SAROJ KUMAR PANIGRAHY</t>
  </si>
  <si>
    <t>FLAT NO-303</t>
  </si>
  <si>
    <t>GREEN GLEN LAYOUT BELLANDURE</t>
  </si>
  <si>
    <t>ARUN KUMAR</t>
  </si>
  <si>
    <t>#0 Bagepalli Thalluku</t>
  </si>
  <si>
    <t>Thalluku - Etigaddapalli</t>
  </si>
  <si>
    <t>CHIKKABALLAPUR</t>
  </si>
  <si>
    <t>KOLAR</t>
  </si>
  <si>
    <t>HOSSUR RAMESH LAVANYA</t>
  </si>
  <si>
    <t>HOSSUR GAURIBIDNUR</t>
  </si>
  <si>
    <t>RAMESHA B A</t>
  </si>
  <si>
    <t>BOMMEPALLI</t>
  </si>
  <si>
    <t>KADADANAMARI</t>
  </si>
  <si>
    <t>CHINTAMANI</t>
  </si>
  <si>
    <t>MYSORE</t>
  </si>
  <si>
    <t>UMASHANKAR .</t>
  </si>
  <si>
    <t>NO.264, 2ND STAGE</t>
  </si>
  <si>
    <t>EWS HOUSE</t>
  </si>
  <si>
    <t>KUVEMPUNAGAR</t>
  </si>
  <si>
    <t>VARUN VATSAL</t>
  </si>
  <si>
    <t>#292J P Nagar 7th A Main 4th Cross C Block J P</t>
  </si>
  <si>
    <t>Nagar Near J P Nagar Sports Club J P Nagar</t>
  </si>
  <si>
    <t>SATHISH K</t>
  </si>
  <si>
    <t>NO 37</t>
  </si>
  <si>
    <t>4TH MAIN 1ST CROSS</t>
  </si>
  <si>
    <t>S J H ROAD VIDYARANYAPURAMMYSORE</t>
  </si>
  <si>
    <t>MAHADEVAPPA ABHILASH</t>
  </si>
  <si>
    <t>S O MAHADEVAPPA M P B MALLAIAH</t>
  </si>
  <si>
    <t>NAPURA BENDARAVADY BENDRAVADI</t>
  </si>
  <si>
    <t>NEAR GANESH TEMPLE</t>
  </si>
  <si>
    <t>CHAMARAJANAGAR</t>
  </si>
  <si>
    <t>MANDYA</t>
  </si>
  <si>
    <t>NEELEGOWDA BOREGOWDA SUCHITHRA</t>
  </si>
  <si>
    <t>KERAGODU HOBLIB HOSUR</t>
  </si>
  <si>
    <t>KRISHNARAJPET</t>
  </si>
  <si>
    <t>GIRISH . .</t>
  </si>
  <si>
    <t>#3 KAMSAGARA MALA VALLI TQ</t>
  </si>
  <si>
    <t>TUMKUR</t>
  </si>
  <si>
    <t>MOHAMED AZAM J .</t>
  </si>
  <si>
    <t>HAGGADE COLONY 0</t>
  </si>
  <si>
    <t>THUMKUR</t>
  </si>
  <si>
    <t>GEETHA NAGARAJ</t>
  </si>
  <si>
    <t>NO:1233,INDIRA NAGARA,BH ROAD</t>
  </si>
  <si>
    <t>10TH BLACK,HULIYAR HOBALI,CHIK</t>
  </si>
  <si>
    <t>KANAYAKANAHALLI TALUK,HULIYAR</t>
  </si>
  <si>
    <t>DAKSHINA KANNADA</t>
  </si>
  <si>
    <t>KRISHNA KISHOR VISHWESHWARA</t>
  </si>
  <si>
    <t>K 209 KOMMUNJE HOUSE BANTWAL</t>
  </si>
  <si>
    <t>TALUK MANILA DAKSHINA</t>
  </si>
  <si>
    <t>MANGALORE</t>
  </si>
  <si>
    <t>VIKAS SHETTY</t>
  </si>
  <si>
    <t>#6-150/8 shree raksha, kodical 6TH cross JB lobo road k</t>
  </si>
  <si>
    <t>ARAVIND MAIRPADY ANANDA</t>
  </si>
  <si>
    <t>ANANTHA 4-28/3 NEAR IDDYA MAHALINGESWAR TEMPLE</t>
  </si>
  <si>
    <t>SURATHKAL</t>
  </si>
  <si>
    <t>H LATHA Y KAMATH</t>
  </si>
  <si>
    <t>NO 1893 5 SRI DEVI ASHIRWAD</t>
  </si>
  <si>
    <t>1ST CROSS BEHIND LAXMI FLOOR</t>
  </si>
  <si>
    <t>MILL S S LAYOUT A BLOCK</t>
  </si>
  <si>
    <t>DAVANAGERE</t>
  </si>
  <si>
    <t>KUMUDA K S</t>
  </si>
  <si>
    <t>NO 1780A/13 6TH CROSS NEAR GANESH</t>
  </si>
  <si>
    <t>TEMPLE VINAYAK BADAVANE VIDYA NAGARA</t>
  </si>
  <si>
    <t>BAPUJI VIDYA NAGARADAVANGERE KARNATAKA</t>
  </si>
  <si>
    <t>KUMAR SWAMY KOTRABASAPPA HADADI</t>
  </si>
  <si>
    <t>2329, 1ST MAIN, 8TH CROSS,</t>
  </si>
  <si>
    <t>NEAR ESHWAR PARVATHI TEMPLE ,</t>
  </si>
  <si>
    <t>VIDYA NAGAR,BAPUJI VIDYANAGARA</t>
  </si>
  <si>
    <t>L N JAGADEESHA</t>
  </si>
  <si>
    <t>CHENNAKESHAVA TEMPLE STREET</t>
  </si>
  <si>
    <t>LINGADAHALLI</t>
  </si>
  <si>
    <t>TARIKERECHICKMAGALUR</t>
  </si>
  <si>
    <t>VISHWANATHA M R .</t>
  </si>
  <si>
    <t>118 3 O M SHNTHI ASHRAMA</t>
  </si>
  <si>
    <t>GURUBHAVANA RD</t>
  </si>
  <si>
    <t>NEW KANKERI SORAB</t>
  </si>
  <si>
    <t>NANJANNA VEERESH HALLERA</t>
  </si>
  <si>
    <t>S/O NANJANNA ATHITHYA 2ND CROSS BANK</t>
  </si>
  <si>
    <t>COLONY SRI VENKATESHWARA BADAVANE</t>
  </si>
  <si>
    <t>CHITRADURGACHITRADURGA KARNATAKA</t>
  </si>
  <si>
    <t>2ND CROSS</t>
  </si>
  <si>
    <t>NAGARAJ G HOLEYANNAVAR</t>
  </si>
  <si>
    <t>S/O GANGADHAR HOLEYANNAVAR</t>
  </si>
  <si>
    <t>GOUDAR ONI GULAGANJIKOPPA</t>
  </si>
  <si>
    <t>DHARWAD DHARWAD KC PARKDHARWAD</t>
  </si>
  <si>
    <t>DHARWAD</t>
  </si>
  <si>
    <t>HAVERI</t>
  </si>
  <si>
    <t>SHREEPAD PUJAR</t>
  </si>
  <si>
    <t>435 BASAVESHWAR TEMPLE ONI</t>
  </si>
  <si>
    <t>HAVANUR</t>
  </si>
  <si>
    <t>SANTOSH P</t>
  </si>
  <si>
    <t>KURUBAGERI</t>
  </si>
  <si>
    <t>NEAR BEERASWARA TEMPLE</t>
  </si>
  <si>
    <t>RANEBENNUR</t>
  </si>
  <si>
    <t>KUMAR SURESH NAIK</t>
  </si>
  <si>
    <t>GUDEANGDI</t>
  </si>
  <si>
    <t>BHAT GANAPATHI</t>
  </si>
  <si>
    <t>66 B VILLAGE 3 KODGIBAILU MAJARE 8</t>
  </si>
  <si>
    <t>DATTAGADDE BOMMNALLI HALUSARGI</t>
  </si>
  <si>
    <t>KODIBAIL SIRSI BANGALOREINDIA</t>
  </si>
  <si>
    <t>SIRSI</t>
  </si>
  <si>
    <t>VASUDEVA FATTEPUR</t>
  </si>
  <si>
    <t>GADAG</t>
  </si>
  <si>
    <t>,GADAG</t>
  </si>
  <si>
    <t>SHIVANAND NAGAR,GADAG</t>
  </si>
  <si>
    <t>Umesh .</t>
  </si>
  <si>
    <t>HOUSE NO L I G 317 K H B</t>
  </si>
  <si>
    <t>COLONY GANDHI NAGAR MOKA ROAD</t>
  </si>
  <si>
    <t>MURULIDHARA N M</t>
  </si>
  <si>
    <t>9 WARD NO 3</t>
  </si>
  <si>
    <t>BANDRI</t>
  </si>
  <si>
    <t>SANDUR</t>
  </si>
  <si>
    <t>BASAVARAJ VIRUPAKSHAPPA JERKAL</t>
  </si>
  <si>
    <t>51 4TH WARD MALLNNA STREET</t>
  </si>
  <si>
    <t>SOMALAPURA DEVALAPURA</t>
  </si>
  <si>
    <t>MAGALA KRISHNA PRASAD</t>
  </si>
  <si>
    <t>H NO 6/122,</t>
  </si>
  <si>
    <t>KAMPLI,</t>
  </si>
  <si>
    <t>KAMPLI</t>
  </si>
  <si>
    <t>KUDATHINI SUMALATHA</t>
  </si>
  <si>
    <t>C/O Sagar R 10/7Medar Area Kuresh Hotel Street</t>
  </si>
  <si>
    <t>Medar Area Near Eshwar Temple Medar Area</t>
  </si>
  <si>
    <t>HOSPET</t>
  </si>
  <si>
    <t>D R BADRINATH</t>
  </si>
  <si>
    <t>S/O LATE D RAMACHANDRAPPA 10TH WARD</t>
  </si>
  <si>
    <t>MAIN BAZAAR DODDAMANI TRADERS HOSPET</t>
  </si>
  <si>
    <t>HOSPET KARNATAKA</t>
  </si>
  <si>
    <t>BHARATESH H S .</t>
  </si>
  <si>
    <t>#MIG3 8 TH WARD MPP NAGAR</t>
  </si>
  <si>
    <t>HUVINAHADAGALI</t>
  </si>
  <si>
    <t>MPP NAGAR</t>
  </si>
  <si>
    <t>KOPPAL</t>
  </si>
  <si>
    <t>MANJUNATHA .</t>
  </si>
  <si>
    <t>1TH WARD NEAR ERANNA TEMPLE</t>
  </si>
  <si>
    <t>HIRE DANKANKAL</t>
  </si>
  <si>
    <t>MOHAMMED TAJUDDIN KHAN</t>
  </si>
  <si>
    <t>H.NO.1-7-53 BRAMINWADI</t>
  </si>
  <si>
    <t>STATION ROAD RAICHUR</t>
  </si>
  <si>
    <t>RAICHUR KARNATAKA</t>
  </si>
  <si>
    <t>RAICHUR</t>
  </si>
  <si>
    <t>RAJGOPAL INNANI .</t>
  </si>
  <si>
    <t>7 5 279 JAWAHAR NAGAR</t>
  </si>
  <si>
    <t>NR VASAVI TEMPLE</t>
  </si>
  <si>
    <t>GULBARGA</t>
  </si>
  <si>
    <t>ASHWINI SHIVANAND PATIL</t>
  </si>
  <si>
    <t>H NO M I G -8 SHANTI NAGRA</t>
  </si>
  <si>
    <t>M S K MILLR DCENTRALBUS STAND</t>
  </si>
  <si>
    <t>AFZALPUR GB BAHAMANIPURA</t>
  </si>
  <si>
    <t>ASHOK N MOHITE</t>
  </si>
  <si>
    <t>H NO 39 SATYAPREETI</t>
  </si>
  <si>
    <t>PIPELINE ROAD</t>
  </si>
  <si>
    <t>VIJAYA NAGAR</t>
  </si>
  <si>
    <t>PRASHANT N VANKUDRE</t>
  </si>
  <si>
    <t>PT NO 32</t>
  </si>
  <si>
    <t>LAXMI NAGAR, HINDALGA</t>
  </si>
  <si>
    <t>BELGAUMKARNATAKA</t>
  </si>
  <si>
    <t>KIRAN RAVASAHEB PISAL .</t>
  </si>
  <si>
    <t>1435 AKKOL AKKOL AKKOL AKOL</t>
  </si>
  <si>
    <t>CHIKODI BELGAUM</t>
  </si>
  <si>
    <t>NIPANI FINANCE PRIVATE LIMITED</t>
  </si>
  <si>
    <t>KOTHIWALE COMPLEX ,</t>
  </si>
  <si>
    <t>GALA NO 8, ASHOK NAGAR NIPANI,</t>
  </si>
  <si>
    <t>TAL-CHIKODI, DIST-BELGAUM</t>
  </si>
  <si>
    <t>VINOD PANKAJ KUMAR</t>
  </si>
  <si>
    <t>45-D MUNIAPPA STREET</t>
  </si>
  <si>
    <t>KONDITHOPE</t>
  </si>
  <si>
    <t>PRABHU . .</t>
  </si>
  <si>
    <t>6 MYLAPORE MYLAPORE DIV</t>
  </si>
  <si>
    <t>CHENNAI DT</t>
  </si>
  <si>
    <t>R SENTHIL KUMAR</t>
  </si>
  <si>
    <t>B 6 ANANTI FLATS</t>
  </si>
  <si>
    <t>OLD NO 61</t>
  </si>
  <si>
    <t>RAKKIAPPA STREETMYLAPORE CHENNAI</t>
  </si>
  <si>
    <t>NITHYA A S</t>
  </si>
  <si>
    <t>OLD NO 3 NEW NO 5</t>
  </si>
  <si>
    <t>RAMACHANDRA ROAD</t>
  </si>
  <si>
    <t>MYLAPORE CHENNAITAMIL NADU</t>
  </si>
  <si>
    <t>VINESH KUMAR</t>
  </si>
  <si>
    <t>OLD NO 29 NEW NO 13</t>
  </si>
  <si>
    <t>CHINNATHAMBI STREET</t>
  </si>
  <si>
    <t>CHEPAUK C</t>
  </si>
  <si>
    <t>GOKULRAJ B .</t>
  </si>
  <si>
    <t>26 RAMANUJAM GARDEN STREET</t>
  </si>
  <si>
    <t>PATTALAM PERAMBUR BARRACKS</t>
  </si>
  <si>
    <t>PUSHPA JAIN</t>
  </si>
  <si>
    <t>NORTH TOWN ANANDA TOWER 2 F NO 1002</t>
  </si>
  <si>
    <t>1003 10TH FLR 4 5 6 7 STEPHENSON RD</t>
  </si>
  <si>
    <t>MANACKCHAND VIMAL KUMAR</t>
  </si>
  <si>
    <t>S/O,Manak Chand 89 S.n Chetty Street</t>
  </si>
  <si>
    <t>KAMAKSHI ASSOCIATES PRIVATE LIMITED</t>
  </si>
  <si>
    <t>NO 15 2A 2ND FLOOR SRESHTA APT</t>
  </si>
  <si>
    <t>HANUMATHA ROAD</t>
  </si>
  <si>
    <t>BALAJI NAGAR,ROYAPETTAHCHENNAI</t>
  </si>
  <si>
    <t>JEGADESH . .</t>
  </si>
  <si>
    <t>C-2 DARSHAN APARTMENT 97</t>
  </si>
  <si>
    <t>PERUMA KOIL STREET WEST</t>
  </si>
  <si>
    <t>SAIDAPET</t>
  </si>
  <si>
    <t>KANCHIPURAM</t>
  </si>
  <si>
    <t>K PARTHIBAN .</t>
  </si>
  <si>
    <t>28/24 MARGOS LANE ALANDUR</t>
  </si>
  <si>
    <t>UMA HARSHITHA VALLI .</t>
  </si>
  <si>
    <t>NO6 1ST STREET D NO 6</t>
  </si>
  <si>
    <t>PARTHASARATHY PURAM</t>
  </si>
  <si>
    <t>PREMKUMAR SUKUMAR .</t>
  </si>
  <si>
    <t>26 17A GI CHARI ST T NAGAR</t>
  </si>
  <si>
    <t>THIYAGARAYA NAGAR</t>
  </si>
  <si>
    <t>TIRUVALLUR</t>
  </si>
  <si>
    <t>VINOTHKUMAR SIVA .</t>
  </si>
  <si>
    <t>96 NAYAK KAMARAJAR STREET</t>
  </si>
  <si>
    <t>KARGIL VETRINAGAR TIRUVOTTIYUR</t>
  </si>
  <si>
    <t>CHANDRAKANT DESAI</t>
  </si>
  <si>
    <t>DEV APARTMENTS</t>
  </si>
  <si>
    <t>63/25 1ST MAIN ROAD</t>
  </si>
  <si>
    <t>ABOVE ANDHRA BANK GANDHI NAGAR</t>
  </si>
  <si>
    <t>JOHN PETER .</t>
  </si>
  <si>
    <t>11/4 SINGARA GARDEN 8TH STREET</t>
  </si>
  <si>
    <t>OLD WASHERMENPET</t>
  </si>
  <si>
    <t>WASHERMENPET</t>
  </si>
  <si>
    <t>VIMAL T .</t>
  </si>
  <si>
    <t>NO 8/18/1 RANGAPPA STREET</t>
  </si>
  <si>
    <t>AYANAVARAM</t>
  </si>
  <si>
    <t>ARUN B .</t>
  </si>
  <si>
    <t>E3,SAM TOWER</t>
  </si>
  <si>
    <t>23,RAJI STREET</t>
  </si>
  <si>
    <t>AYNAVARAM</t>
  </si>
  <si>
    <t>GAUTAM JAGANNATHAN</t>
  </si>
  <si>
    <t>NO 2 SUBRAMAYA NAGAR</t>
  </si>
  <si>
    <t>RANGARAJAPURAM KODAMBAKKAM</t>
  </si>
  <si>
    <t>DINESH . .</t>
  </si>
  <si>
    <t>NO30 NETHAJI STREET POONAMALLE</t>
  </si>
  <si>
    <t>ROAD EKKA DUTHANGAL</t>
  </si>
  <si>
    <t>SAMARTH SATHYANANDA PRABHU</t>
  </si>
  <si>
    <t>A305 VGN RAKSHA APTS, EAST MOGAPPAIR CHURCH STREET</t>
  </si>
  <si>
    <t>EAST MOGAPPAIR EAST MOGAPPAIR EAST MOGAPPAIR</t>
  </si>
  <si>
    <t>S VASUDEVAN</t>
  </si>
  <si>
    <t>NO 6 6 NAVARATHNA FLATS BLOCK NO 6</t>
  </si>
  <si>
    <t>2ND FLOOR</t>
  </si>
  <si>
    <t>SEETHAKATHI SALAI MOGAPPAIRCHENNAI</t>
  </si>
  <si>
    <t>R KAMARAJ</t>
  </si>
  <si>
    <t>C 114 CORAL BLOCK</t>
  </si>
  <si>
    <t>GEMS PARK, GEMS PARK AVENUE</t>
  </si>
  <si>
    <t>MOGAPPAIR WESTCHENNAI</t>
  </si>
  <si>
    <t>DINDIGUL</t>
  </si>
  <si>
    <t>SARANYA . .</t>
  </si>
  <si>
    <t>374 20TH BLOCK SATHIYA MOORTHY</t>
  </si>
  <si>
    <t>NAGAR VYASARPADI</t>
  </si>
  <si>
    <t>ARCHUNAN VIJAYA</t>
  </si>
  <si>
    <t>NO 68 43B 3RD STREET</t>
  </si>
  <si>
    <t>VYSARPADY SAMIYAR GARDEN</t>
  </si>
  <si>
    <t>VYASARPADI</t>
  </si>
  <si>
    <t>POOJA</t>
  </si>
  <si>
    <t>20/61 13TH WEST CROSS STREET M K B N</t>
  </si>
  <si>
    <t>AGAR VYASARPADI CHENNAI NEAR SELAAM</t>
  </si>
  <si>
    <t>SWEETSCHENNAI TAMIL NADU</t>
  </si>
  <si>
    <t>K SURENDHAR .</t>
  </si>
  <si>
    <t>4 64 4TH NORTH CROSSST</t>
  </si>
  <si>
    <t>BALLESWARAR NAGAR</t>
  </si>
  <si>
    <t>NEELANKARAI THRIUVANMIYUR</t>
  </si>
  <si>
    <t>ANOOP B</t>
  </si>
  <si>
    <t>NO 1036, SECOND FLOOR</t>
  </si>
  <si>
    <t>38 TH CROSS STREET,THIRUVALLUVAR NAG</t>
  </si>
  <si>
    <t>THIRUVANMIYURCHENNAI</t>
  </si>
  <si>
    <t>MANISH KUMAR B .</t>
  </si>
  <si>
    <t>13/9 ANDAL AVENUE GANDHI</t>
  </si>
  <si>
    <t>ROAD VELACHERRY VELACHERI</t>
  </si>
  <si>
    <t>PRAKASH KUMAR DWIVEDI</t>
  </si>
  <si>
    <t>18 PUTHERAIKARAI STREET NEAR RAJALAKSHMI THEATOR</t>
  </si>
  <si>
    <t>VELACHERRY CHENNAI VELACHERRY TAMIL NADU</t>
  </si>
  <si>
    <t>SANGEETHA ARIVU</t>
  </si>
  <si>
    <t>FLAT NO 3/5 BLOCK NO 2</t>
  </si>
  <si>
    <t>ASHIRVAD ENCLAVE</t>
  </si>
  <si>
    <t>1-2 GST ROAD CHROMPETCHENNAI</t>
  </si>
  <si>
    <t>MUTHIAN SIVATHANU</t>
  </si>
  <si>
    <t>NO 136 BABA NAGAR</t>
  </si>
  <si>
    <t>SIXTH STREET</t>
  </si>
  <si>
    <t>VILLIVAKKAMCHENNAI</t>
  </si>
  <si>
    <t>N BALASUBBU</t>
  </si>
  <si>
    <t>NO 8A ANNA FIRST CROSS STREET</t>
  </si>
  <si>
    <t>PADI</t>
  </si>
  <si>
    <t>SUNILKUMAR .</t>
  </si>
  <si>
    <t>24-4, K.K. NAGAR</t>
  </si>
  <si>
    <t>AYAPAKKAM ROAD</t>
  </si>
  <si>
    <t>AMBATHUR</t>
  </si>
  <si>
    <t>KALYANARAMAN S</t>
  </si>
  <si>
    <t>NO 2999</t>
  </si>
  <si>
    <t>TNHB AVADI</t>
  </si>
  <si>
    <t>PRAVEEN HARIKUMAR R</t>
  </si>
  <si>
    <t>S O,RADHA KRISHNAN A ,PLOT 51 B2</t>
  </si>
  <si>
    <t>ARUSHI APARTMENTS ,4TH STREET</t>
  </si>
  <si>
    <t>,KANCHIPURAMTAMILNADU,INDIA</t>
  </si>
  <si>
    <t>K SELVARAJ .</t>
  </si>
  <si>
    <t>12 VALMEGI STREET THAMBARAM(M)</t>
  </si>
  <si>
    <t>TAMBARAM EAST</t>
  </si>
  <si>
    <t>BANUPRIYA GAJENDRAN .</t>
  </si>
  <si>
    <t>43 KANNAN NAGAR 1ST ST</t>
  </si>
  <si>
    <t>MADHAVARAM</t>
  </si>
  <si>
    <t>AMUTHAVALLI GOPINATH ARVIND</t>
  </si>
  <si>
    <t>NO 50 MAHESWARI NAGAR</t>
  </si>
  <si>
    <t>CHITTALAPAKKAM</t>
  </si>
  <si>
    <t>BALASUBRAMANIAN A .</t>
  </si>
  <si>
    <t>P.NO:98 13TH CROSS STREET PADM</t>
  </si>
  <si>
    <t>PADMAVATHY</t>
  </si>
  <si>
    <t>NAGAR EXTN SELAIYUR</t>
  </si>
  <si>
    <t>S PORKAI PANDIAN .</t>
  </si>
  <si>
    <t>813 63RD STREET 10TH SECTOR</t>
  </si>
  <si>
    <t>K K NAGAR</t>
  </si>
  <si>
    <t>M NAGOOR MEERAN .</t>
  </si>
  <si>
    <t>NO 93/45 NETHAJI</t>
  </si>
  <si>
    <t>NAGAR 1ST STREET</t>
  </si>
  <si>
    <t>KALIRAJ SARAVANA PRIYA</t>
  </si>
  <si>
    <t>11 7 SUGAN RAJ STREET, VETRI</t>
  </si>
  <si>
    <t>NAGAR, TVK NAGAR JAWAHAR</t>
  </si>
  <si>
    <t>SOORAJ VARMA R</t>
  </si>
  <si>
    <t>NEW NO 14</t>
  </si>
  <si>
    <t>A A APARTMENTS</t>
  </si>
  <si>
    <t>ANNAL GANDHI ST VETTRI NAGAR</t>
  </si>
  <si>
    <t>SHUNMUGAM S</t>
  </si>
  <si>
    <t>955,</t>
  </si>
  <si>
    <t>POONAMALLEE HIGH ROAD</t>
  </si>
  <si>
    <t>P Sivakumar</t>
  </si>
  <si>
    <t>11 Old NO 6</t>
  </si>
  <si>
    <t>Kanakasri Nagar</t>
  </si>
  <si>
    <t>Cathedral RoadChennai</t>
  </si>
  <si>
    <t>ARUN J</t>
  </si>
  <si>
    <t>NO 125 A DURAIKANNU SALAI</t>
  </si>
  <si>
    <t>ST THOMASMOUNT</t>
  </si>
  <si>
    <t>KISHOR KUMAR LALITHA KUMARI</t>
  </si>
  <si>
    <t>C/OKishor Kumar LIG 1/22 TNHB Senthamil Apartments</t>
  </si>
  <si>
    <t>Senthamil Nagar Main Road</t>
  </si>
  <si>
    <t>P G STELLA .</t>
  </si>
  <si>
    <t>34/6 CP W D NEW QUARTERS BESAN</t>
  </si>
  <si>
    <t>INFANT ANTONY MARIA M .</t>
  </si>
  <si>
    <t>16/235 SHEIK ABDULLA NAGAR</t>
  </si>
  <si>
    <t>SIND STREET VIRUGAMBAKKAM</t>
  </si>
  <si>
    <t>STREET VIRUGAMBAKKAM</t>
  </si>
  <si>
    <t>SRI MUTHU RAJESH .</t>
  </si>
  <si>
    <t>26/3 IIND CROSS SASTHRI STREET</t>
  </si>
  <si>
    <t>NEHRU NAGAR SALIGRAMAM</t>
  </si>
  <si>
    <t>S. GANESH .</t>
  </si>
  <si>
    <t>NO. 7, PERIYAR STREET,</t>
  </si>
  <si>
    <t>F2 SUNITHA ENCLAVE, GANDHI NGR</t>
  </si>
  <si>
    <t>DHASARADHAPURAM, SALIGRAMAM,</t>
  </si>
  <si>
    <t>K SRINIVASAN</t>
  </si>
  <si>
    <t>154 S AND P RESIDENCIES VANAGARAM C</t>
  </si>
  <si>
    <t>HENNAI</t>
  </si>
  <si>
    <t>CHENNAI TAMIL NADU</t>
  </si>
  <si>
    <t>PENCHALAIAH D .</t>
  </si>
  <si>
    <t>NO.3/373 VPG AVENUE METTUKUPPA</t>
  </si>
  <si>
    <t>OMR</t>
  </si>
  <si>
    <t>NAIDU ANDHRAMESS</t>
  </si>
  <si>
    <t>VIJAYAKUMAR . .</t>
  </si>
  <si>
    <t>9/191 PATEL STREET RANGANATHAP</t>
  </si>
  <si>
    <t>URAM MEDAVAKKAM</t>
  </si>
  <si>
    <t>P GOMATHINAYAGAM</t>
  </si>
  <si>
    <t>OLD NO 3 NEW NO 16 KUJJI 2ND</t>
  </si>
  <si>
    <t>STREET ANNA NAGAR</t>
  </si>
  <si>
    <t>.CHENNAI TAMIL NADU</t>
  </si>
  <si>
    <t>KRISHNA KUMAR M</t>
  </si>
  <si>
    <t>24/11, M M D A</t>
  </si>
  <si>
    <t>MANALI NEW TOWN</t>
  </si>
  <si>
    <t>THIRUVALAN . .</t>
  </si>
  <si>
    <t>8 CHINNAMMAN STREET DEVI NAGAR</t>
  </si>
  <si>
    <t>AVADI RAILWAY CARSHED COMPLEX</t>
  </si>
  <si>
    <t>CHENGAI ANNA</t>
  </si>
  <si>
    <t>SNEHAA RAVEENDHRAN</t>
  </si>
  <si>
    <t>NEW 52 FIRST FLOOR</t>
  </si>
  <si>
    <t>SBI COLONY MAIN</t>
  </si>
  <si>
    <t>PALAVANTHANGAL CHENNAITAMILNADU INDIA</t>
  </si>
  <si>
    <t>H VINU .</t>
  </si>
  <si>
    <t>20 KAMALA NAGAR POKUR</t>
  </si>
  <si>
    <t>VIMAL . .</t>
  </si>
  <si>
    <t>34 ANNA STREET SZHINGALLURE</t>
  </si>
  <si>
    <t>SHOLINGANALLUR</t>
  </si>
  <si>
    <t>MANIKANDAN .</t>
  </si>
  <si>
    <t>48 R S ROAD SHARMILA NAGAR PONNERI N ANDIAMBAKKAM</t>
  </si>
  <si>
    <t>NEAR BY ASR BAKERY</t>
  </si>
  <si>
    <t>PACHAMAL SENTHILKUMAR</t>
  </si>
  <si>
    <t>PLOT NO 83 AND 92 A1 A BLOCK TULSI</t>
  </si>
  <si>
    <t>RAMACHANDRA APARTMENTS</t>
  </si>
  <si>
    <t>RAMACHANDRA NAGAR 2ND MAIN ROAD</t>
  </si>
  <si>
    <t>B M SWAMI PUNNIAKODI</t>
  </si>
  <si>
    <t>402 SOORAVARIKANDIGAI SIRUPUZALPETTA</t>
  </si>
  <si>
    <t>I THIRUVALLUR DIST GUMM 101 POO NO 1</t>
  </si>
  <si>
    <t>RAJALINGAM THANGASURESH</t>
  </si>
  <si>
    <t>S/O Rajalingam T 217 Sirupuzhalpettai Post</t>
  </si>
  <si>
    <t>NANDHAKUMAR M .</t>
  </si>
  <si>
    <t>LINGAPA YAMPETTAI PONNERI</t>
  </si>
  <si>
    <t>BLOCK PERUMBEDU POST</t>
  </si>
  <si>
    <t>BHUVANESHWARI M</t>
  </si>
  <si>
    <t>NO 59. PERUMAL KOIL STREET</t>
  </si>
  <si>
    <t>THIRUPAIR VILLAGE</t>
  </si>
  <si>
    <t>PONNERI TALUKKAVARAIPET</t>
  </si>
  <si>
    <t>BALAJI . .</t>
  </si>
  <si>
    <t>4/604 MANORANITHAM POONGANAGAR</t>
  </si>
  <si>
    <t>POONGANAGAR</t>
  </si>
  <si>
    <t>THIRUMALAI KUMARASAMY BALA SUBRAMANIYAN</t>
  </si>
  <si>
    <t>TCS GATE NO 4 TCS SIPCOT IT</t>
  </si>
  <si>
    <t>PARK SIRUSERI</t>
  </si>
  <si>
    <t>SUKESH CH PATRA</t>
  </si>
  <si>
    <t>GI C BLOCK PON</t>
  </si>
  <si>
    <t>PANKAJ SIX STAR APTNS</t>
  </si>
  <si>
    <t>MANSHA GARDEN STREET URAPAKKAMCHENNAI</t>
  </si>
  <si>
    <t>VELAMMAL K</t>
  </si>
  <si>
    <t>PLOT NO.108 ARJUN ILLAM</t>
  </si>
  <si>
    <t>JAYALAKSHMI NAGAR</t>
  </si>
  <si>
    <t>GUDUVANCHERY KANCHEEPURAM DT.TAMIL NADU</t>
  </si>
  <si>
    <t>PRABHU G .</t>
  </si>
  <si>
    <t>NO 56 VIVAKANANDHA NGR</t>
  </si>
  <si>
    <t>PERAMANUR MARAIMALAI NAGR</t>
  </si>
  <si>
    <t>SUGANESHWARAN RAVI . .</t>
  </si>
  <si>
    <t>NO 5 8 VASUGIYAR STREET NH2</t>
  </si>
  <si>
    <t>MARAIMALAI NAGAR NEAR MOHAN</t>
  </si>
  <si>
    <t>HOSPITAL</t>
  </si>
  <si>
    <t>MANAKCHAND JAIN .</t>
  </si>
  <si>
    <t>NO 32 JAWARHARLAL NEHRU STREET</t>
  </si>
  <si>
    <t>TINDIVANAM</t>
  </si>
  <si>
    <t>PUSHPALATHA SAIRAMPRASATH</t>
  </si>
  <si>
    <t>NO 147 WARD 1 AND 2 SANTHI</t>
  </si>
  <si>
    <t>STREET VELLIAMEDUPETTAI</t>
  </si>
  <si>
    <t>POST</t>
  </si>
  <si>
    <t>VILUPPURAM</t>
  </si>
  <si>
    <t>PONDICHERRY</t>
  </si>
  <si>
    <t>MADHAVAN . .</t>
  </si>
  <si>
    <t>31 MARIAMMAN KOIL STREET MUTH-</t>
  </si>
  <si>
    <t>IAYA MUDALIAR PET MUTHIALPET</t>
  </si>
  <si>
    <t>MARIAMMAN KOIL STREET</t>
  </si>
  <si>
    <t>B DURGA</t>
  </si>
  <si>
    <t>PLOT NO 84 9TH CROSS</t>
  </si>
  <si>
    <t>ANUGRAHA SATELLITE TOWNSHIP</t>
  </si>
  <si>
    <t>ECR PERIAKATTUPALAYAMPUDUCHERRY</t>
  </si>
  <si>
    <t>RAMESH . .</t>
  </si>
  <si>
    <t>31 SIXTH CROSS STREET</t>
  </si>
  <si>
    <t>KURINJI NAGAR LAWASPET</t>
  </si>
  <si>
    <t>R MUTHUKRISHNAN</t>
  </si>
  <si>
    <t>NO 1 118 ANNA STREET MOTCHAKULAM</t>
  </si>
  <si>
    <t>MOKSHAKULAM</t>
  </si>
  <si>
    <t>VILLUPURAM TAMIL NADU</t>
  </si>
  <si>
    <t>BALAMURUGAN</t>
  </si>
  <si>
    <t>NO 268 ASHOK NAGAR</t>
  </si>
  <si>
    <t>VANUR TK TC KODTROA</t>
  </si>
  <si>
    <t>SUBRAYAN SARAVANAKUMAR</t>
  </si>
  <si>
    <t>NO 39 KUPUSAMI MUDHALIYAR</t>
  </si>
  <si>
    <t>STREET V MARUDHUR</t>
  </si>
  <si>
    <t>ETHURAJAN MURUGAN</t>
  </si>
  <si>
    <t>152/2TIRUKKOYILUR ANJINEYYAR STREET TIRUKKOYILUR N</t>
  </si>
  <si>
    <t>G G NAGAR TIRUKKOYILUR</t>
  </si>
  <si>
    <t>MEGHANATHAN P .</t>
  </si>
  <si>
    <t>34 ARUNAKIRIYA STREET</t>
  </si>
  <si>
    <t>ULUNPURPET</t>
  </si>
  <si>
    <t>ARUNAKIRIYA STREET ULUNPURPET</t>
  </si>
  <si>
    <t>TIRUVANNAMALAI</t>
  </si>
  <si>
    <t>HARIPRASATH PANCHAMURTHY DEVI</t>
  </si>
  <si>
    <t>NO 169 MARIYAMMAN KOIL 12TH</t>
  </si>
  <si>
    <t>STREET TIRUVANNAMALAI TOWN</t>
  </si>
  <si>
    <t>AND TALUK DT</t>
  </si>
  <si>
    <t>GANESAN K</t>
  </si>
  <si>
    <t>NO 69, 70</t>
  </si>
  <si>
    <t>SUBBARAYA CHETTY STREET</t>
  </si>
  <si>
    <t>TIRUPAPULIYURCUDDALORE</t>
  </si>
  <si>
    <t>CUDDALORE</t>
  </si>
  <si>
    <t>S PRABAKARAN .</t>
  </si>
  <si>
    <t>MURUGAN KOIL STREET</t>
  </si>
  <si>
    <t>ANDIPALAYAM</t>
  </si>
  <si>
    <t>KARUPPUSAMY . .</t>
  </si>
  <si>
    <t>SELVA GOLD COVERING (P)LTD,</t>
  </si>
  <si>
    <t>3/3-A.3-B,3B/2 BAVA MUDALI</t>
  </si>
  <si>
    <t>STREET CHIDAMBARAM</t>
  </si>
  <si>
    <t>CHIDAMBARAM</t>
  </si>
  <si>
    <t>KRISHNAMURTHY .</t>
  </si>
  <si>
    <t>DO NO 15 THILLAI ODAI STREET</t>
  </si>
  <si>
    <t>THERKKIRUPPU</t>
  </si>
  <si>
    <t>MURUGANANDHAM S</t>
  </si>
  <si>
    <t>NO 1A</t>
  </si>
  <si>
    <t>MELA OTHA SARAGU</t>
  </si>
  <si>
    <t>CAUVERY NAGARMAYILADUTHURAI</t>
  </si>
  <si>
    <t>LAKSHMI PRABHA. B</t>
  </si>
  <si>
    <t>NO 3, PSR NAGAR</t>
  </si>
  <si>
    <t>PACHUR</t>
  </si>
  <si>
    <t>KARAIKAL</t>
  </si>
  <si>
    <t>NAGAPATTINAM</t>
  </si>
  <si>
    <t>AGAMED CABIR S .</t>
  </si>
  <si>
    <t>9/1 NAGUTHA VEETHI NERAVY KARA</t>
  </si>
  <si>
    <t>KAMALAMBAL N</t>
  </si>
  <si>
    <t>26/150 KUMARAN STREET</t>
  </si>
  <si>
    <t>ARUMUGAM STREET</t>
  </si>
  <si>
    <t>KIDARANKONDANTHIRUVARUR TAMIL NADU</t>
  </si>
  <si>
    <t>NEELA .</t>
  </si>
  <si>
    <t>WO CHELLAPPA NO 38 NORTH</t>
  </si>
  <si>
    <t>STREET SIKKAL SIKKAL</t>
  </si>
  <si>
    <t>NAGAPATTINAM TAMIL NADU</t>
  </si>
  <si>
    <t>TIRUVARUR</t>
  </si>
  <si>
    <t>RAMESHKRISHNAN GUNASEKARAN .</t>
  </si>
  <si>
    <t>854 ANNA NAGAR KATTAKUDI</t>
  </si>
  <si>
    <t>PERAIYUR 4 PERAIYUR MANNARGUD</t>
  </si>
  <si>
    <t>SIRANJEEVI S</t>
  </si>
  <si>
    <t>4-253 MARUTHANKUDI ARANTHANGI</t>
  </si>
  <si>
    <t>TK MANGUDI PUDUKKOTTAI</t>
  </si>
  <si>
    <t>.PUDUKKOTTAI TAMIL NADU</t>
  </si>
  <si>
    <t>THIRUMURUGAN P</t>
  </si>
  <si>
    <t>NO 1/90A KUYAVAR STREET</t>
  </si>
  <si>
    <t>NEIVELI NORTH POST</t>
  </si>
  <si>
    <t>ORATHANADU TKTHANJAVUR TAMIL NADU</t>
  </si>
  <si>
    <t>VEERAIYAN SANKAR</t>
  </si>
  <si>
    <t>5/298-1 SIVARAMAN COLONY</t>
  </si>
  <si>
    <t>JAMBUVANODAI</t>
  </si>
  <si>
    <t>THIRUTHURAIOPOONDI TKTHIRUVARUR</t>
  </si>
  <si>
    <t>THANJAVUR</t>
  </si>
  <si>
    <t>GOKKILA DEVI A</t>
  </si>
  <si>
    <t>DOOR NO 52 NORTH STREET</t>
  </si>
  <si>
    <t>ALATHUR</t>
  </si>
  <si>
    <t>B ARUN PRASATH</t>
  </si>
  <si>
    <t>NO 13</t>
  </si>
  <si>
    <t>AGRAHARAM EAST</t>
  </si>
  <si>
    <t>ROCK FORT STREETTRICHY</t>
  </si>
  <si>
    <t>S KRISHNAN</t>
  </si>
  <si>
    <t>D NO FF 5 LAKSHMI ROYAL APARTS</t>
  </si>
  <si>
    <t>18 WEST ADAIYAVALANJAN STREET</t>
  </si>
  <si>
    <t>SRIRANGAM NR BY TEMPLETIRUCHIRAPALLY TRICHY TAMIL NADU</t>
  </si>
  <si>
    <t>MADHU GAUTHAM</t>
  </si>
  <si>
    <t>100 5 th STREET, TRICHIRAPALLI KRS NAGAR</t>
  </si>
  <si>
    <t>TRICHIRAPALLI EDAMALAIPATTIPUDUR TRICHIRAPALLI</t>
  </si>
  <si>
    <t>KARTHIKEYAN D .</t>
  </si>
  <si>
    <t>NO 2/20 EAST STREET THUVAKUDI</t>
  </si>
  <si>
    <t>THIRUVERUMBUR TALUK THUVAKUDI</t>
  </si>
  <si>
    <t>PVL SRINIVAS</t>
  </si>
  <si>
    <t>D NO 1/457,SOUTH KATTUR,SMK IL</t>
  </si>
  <si>
    <t>LLAM NAGAR 2ND LANE NEAR RATIO</t>
  </si>
  <si>
    <t>N SHOP NEAR RATION CARDTIRUCHIRAPALLY TRICHY TAMIL NADU</t>
  </si>
  <si>
    <t>RAMASAMY CHIDAMBARAM CHETTIAR CHIDAMBARAM</t>
  </si>
  <si>
    <t>NO 5 ANBIL DHARMALINGAM</t>
  </si>
  <si>
    <t>SALAI K K NAGAR</t>
  </si>
  <si>
    <t>RAMANATHAN MALATHI</t>
  </si>
  <si>
    <t>NO1 MELA MALIGAI SHANDU THURAI</t>
  </si>
  <si>
    <t>POST THURAIYUR!</t>
  </si>
  <si>
    <t>TIRUCHIRAPPALLI 621010</t>
  </si>
  <si>
    <t>YOGESHWARAN .</t>
  </si>
  <si>
    <t>NO 10/333 THOLURPATTI THOLURPATTI</t>
  </si>
  <si>
    <t>BALASAMUTHIRAM POST</t>
  </si>
  <si>
    <t>SENTHIL SARAVANAKUMAR</t>
  </si>
  <si>
    <t>S/O Senthil 10/289 v o c nagar</t>
  </si>
  <si>
    <t>KARUR</t>
  </si>
  <si>
    <t>VIGNESH T</t>
  </si>
  <si>
    <t>1111/63G MERIPURAM PERAMBALUR</t>
  </si>
  <si>
    <t>PERAMBALUR PERAMBALUR</t>
  </si>
  <si>
    <t>Vishwa G</t>
  </si>
  <si>
    <t>S/O Ganapathi NO71THOTTIYAMTHALUKA KOTTAIMEDU</t>
  </si>
  <si>
    <t>THOTTIYAMTHALUKA MAIN VEETHI THOTTIYAMTHALUKA</t>
  </si>
  <si>
    <t>DEVENDHIRAN GOWTHAM</t>
  </si>
  <si>
    <t>124 SAMATHUVAPURAM</t>
  </si>
  <si>
    <t>KANAKILIYANALLUR</t>
  </si>
  <si>
    <t>ARIYALUR</t>
  </si>
  <si>
    <t>PRABU DEIVA SIKAMANI</t>
  </si>
  <si>
    <t>1127WEST STREET PALAYAKKUDI</t>
  </si>
  <si>
    <t>VILL PO SENDURAI TK</t>
  </si>
  <si>
    <t>CHANDIRASEKAR</t>
  </si>
  <si>
    <t>O NO 4 131 N NO 843</t>
  </si>
  <si>
    <t>MIDDLE STREET</t>
  </si>
  <si>
    <t>PERIYATHATHUR NEAR MIDDLE STREETARIYALUR TAMIL NADU</t>
  </si>
  <si>
    <t>PUDUKKOTTAI</t>
  </si>
  <si>
    <t>VEERAMUTHU GAYATHRI</t>
  </si>
  <si>
    <t>138 K V S THERU</t>
  </si>
  <si>
    <t>ALANGUDI</t>
  </si>
  <si>
    <t>K RAMANARAYANAN</t>
  </si>
  <si>
    <t>GANAPATHY AGRAHARAM</t>
  </si>
  <si>
    <t>DINDIGULDINDIGUL</t>
  </si>
  <si>
    <t>SATHISH KUMAR KAMATCHI</t>
  </si>
  <si>
    <t>D/OSathish Kumar 4/69 A Bharathiyar Street</t>
  </si>
  <si>
    <t>THAMARAI KANNAN RISHIKEISH</t>
  </si>
  <si>
    <t>138P/9 KVP NAGAR 1ED STREET,NAGANAMPATTI ROOD</t>
  </si>
  <si>
    <t>ODDANCHATRAM</t>
  </si>
  <si>
    <t>RAJA PALANISAMY</t>
  </si>
  <si>
    <t>33 MADURAI ROAD SRIRAMAPURAAM</t>
  </si>
  <si>
    <t>SRIRAMAPURAMDINDIGUL TAMIL NADU</t>
  </si>
  <si>
    <t>SELVARAJ</t>
  </si>
  <si>
    <t>O NO N NO KUMARAPALAYAM SILVARPATT</t>
  </si>
  <si>
    <t>Y</t>
  </si>
  <si>
    <t>DINDIGUL TAMIL NADU</t>
  </si>
  <si>
    <t>GOPINATH RAMBALAJI</t>
  </si>
  <si>
    <t>SO P GOPINATHNO 2013PERUMAL</t>
  </si>
  <si>
    <t>KOIL</t>
  </si>
  <si>
    <t>STREETTALLAKULAMMADURAITAMIL</t>
  </si>
  <si>
    <t>SUNDARESAN S</t>
  </si>
  <si>
    <t>OLD NO 7 NEW NO 8</t>
  </si>
  <si>
    <t>SINGARAYAR COLONY</t>
  </si>
  <si>
    <t>NORTH STREET NEAR E B OFFICEMADURAI TAMIL NADU</t>
  </si>
  <si>
    <t>RAJAMANI KARTHIKEYAN</t>
  </si>
  <si>
    <t>NO 46/2, NEW RAMNAD ROAD NEAR TEPPAKULAM 1ST FLOOR NITH</t>
  </si>
  <si>
    <t>MANICKAM NAGAR 3RD CROSS STREET</t>
  </si>
  <si>
    <t>C MATHIALAGAN</t>
  </si>
  <si>
    <t>NO 15 MILITARY PANDI COMPUND</t>
  </si>
  <si>
    <t>ANBU NGR MANIKANDAN NGR</t>
  </si>
  <si>
    <t>VILLAPURAM SOUTH AVANIYAPURAMMADURAI TAMIL NADU</t>
  </si>
  <si>
    <t>THENI</t>
  </si>
  <si>
    <t>VINOTH KUMAR N .</t>
  </si>
  <si>
    <t>MAIN ROAD RAJADHANI</t>
  </si>
  <si>
    <t>AUNDIPPATTI RAJADHANI</t>
  </si>
  <si>
    <t>MURUGAN K</t>
  </si>
  <si>
    <t>278 4 POST OFFICE ODAI ST</t>
  </si>
  <si>
    <t>THENI ALLINAGARAM</t>
  </si>
  <si>
    <t>THENI TAMIL NADU</t>
  </si>
  <si>
    <t>SUBBIAH SIVAKUMAR</t>
  </si>
  <si>
    <t>16/6A MIRANDA LINE 2ND CROSS</t>
  </si>
  <si>
    <t>STREET ALLINAGARAM</t>
  </si>
  <si>
    <t>THENI TAMIL NADU TAMIL NADU</t>
  </si>
  <si>
    <t>B GANESAN .</t>
  </si>
  <si>
    <t>11-2-12A BIG STREET VEERAPANDI</t>
  </si>
  <si>
    <t>.THENI TAMIL NADU TAMIL NADU</t>
  </si>
  <si>
    <t>M SURESH</t>
  </si>
  <si>
    <t>SO MUTHUSANY</t>
  </si>
  <si>
    <t>NO 553 KALLAR RD</t>
  </si>
  <si>
    <t>VEEPATHIRASMY KOVIL LANE PERIYAKULAM</t>
  </si>
  <si>
    <t>RAJAGOPAL .</t>
  </si>
  <si>
    <t>4/18 AKRAHARAM STREET VILLUR</t>
  </si>
  <si>
    <t>POST THIRUMANGALAM TK</t>
  </si>
  <si>
    <t>.MADURAI TAMIL NADU</t>
  </si>
  <si>
    <t>SIVAKASI</t>
  </si>
  <si>
    <t>VIRUDHUNAGAR</t>
  </si>
  <si>
    <t>DHANASEKARA PANDIAN RAJAGOPAL</t>
  </si>
  <si>
    <t>2 136 MIDDLE STREET PERIA</t>
  </si>
  <si>
    <t>PERALIPOST VIRUDHUNAGAR</t>
  </si>
  <si>
    <t>K SUBBAREDDIAR</t>
  </si>
  <si>
    <t>99 KEELAKARANDHAI KAMATCHI</t>
  </si>
  <si>
    <t>ST SOUTH STREET ARUPPUKOTTAI</t>
  </si>
  <si>
    <t>VIRUDHUNAGARARUPPUKKOTTAI TAMIL NADU</t>
  </si>
  <si>
    <t>THAMARAI SELVAN R</t>
  </si>
  <si>
    <t>10/A 25 NAGALINGAM VEETU</t>
  </si>
  <si>
    <t>THERU ARUPPUKOTTAI</t>
  </si>
  <si>
    <t>VIRUDHUNAGARARUPPUKOTTAI TAMIL NADU</t>
  </si>
  <si>
    <t>KAMARAJ</t>
  </si>
  <si>
    <t>M VINAYAGAMOORTHI .</t>
  </si>
  <si>
    <t>1/314 COLONY STREET KARUPPUR</t>
  </si>
  <si>
    <t>THOOTHUKKUDI KARUPPRU NEAR</t>
  </si>
  <si>
    <t>TEMPLE</t>
  </si>
  <si>
    <t>TIRUNELVELI</t>
  </si>
  <si>
    <t>SAMI SUBRAMANIAN</t>
  </si>
  <si>
    <t>287 PERIYA THERU TIRUNELVELI</t>
  </si>
  <si>
    <t>TOWN TIRUNELVELI</t>
  </si>
  <si>
    <t>ESSAKI KUMAR</t>
  </si>
  <si>
    <t>38 BLOCK 1</t>
  </si>
  <si>
    <t>NORTH STREET</t>
  </si>
  <si>
    <t>THOTTAKUDI</t>
  </si>
  <si>
    <t>TIRUNELVALI</t>
  </si>
  <si>
    <t>SIVASUBBU THEVAR MANIKANDAN</t>
  </si>
  <si>
    <t>S/O Sivasubbu Tevar No 35 North Street Devanallur</t>
  </si>
  <si>
    <t>Nanguneri</t>
  </si>
  <si>
    <t>MOHAMED ISMAIL</t>
  </si>
  <si>
    <t>113 A 1 MAIN ROAD ROAD NO 11</t>
  </si>
  <si>
    <t>KADAYANALLUR</t>
  </si>
  <si>
    <t>NEAR MAIN ROADTIRUNELVELI TAMIL NADU</t>
  </si>
  <si>
    <t>ESAKKIMUTHU S</t>
  </si>
  <si>
    <t>NORTH STREET,KEELASEKKARAKUDI</t>
  </si>
  <si>
    <t>SEKKARAKKUDITHOOTHUKKUDI</t>
  </si>
  <si>
    <t>SALAIRAJ SEENIVASAGAN</t>
  </si>
  <si>
    <t>1615 6 INDIRA NGR INAM</t>
  </si>
  <si>
    <t>MANIYACHI SECOND ST</t>
  </si>
  <si>
    <t>KOVILPATTI INAM LAKSHMIPURAM</t>
  </si>
  <si>
    <t>KOVILPATTI</t>
  </si>
  <si>
    <t>MURUGALAKSHMI . .</t>
  </si>
  <si>
    <t>138/5 A SALAIPUTHUR ALMPATTINA</t>
  </si>
  <si>
    <t>MANIYACHI KR NAGAR KOVILPATTI</t>
  </si>
  <si>
    <t>ALAMPATTI</t>
  </si>
  <si>
    <t>THOOTHUKUDI</t>
  </si>
  <si>
    <t>RAVICHANDRAN DILEEPAN BHARATHI</t>
  </si>
  <si>
    <t>65A 115 3RD STREET AMBAL NAGAR VILAT</t>
  </si>
  <si>
    <t>HIKULAM THOOTHUKKUDI VILATHIKULAM VI LATHIKULAM</t>
  </si>
  <si>
    <t>DHARMAPURI</t>
  </si>
  <si>
    <t>AVUDAITHANGAM N</t>
  </si>
  <si>
    <t>19 BANGALOW STREET</t>
  </si>
  <si>
    <t>VILATHIKULAM</t>
  </si>
  <si>
    <t>THOOTHUKKUDI</t>
  </si>
  <si>
    <t>VIMAL. J</t>
  </si>
  <si>
    <t>NO.309/A1, K.P.ROAD</t>
  </si>
  <si>
    <t>PARVATHIPURAM, NAGERCOIL</t>
  </si>
  <si>
    <t>AGASTEESWARAM, KANNIYAKUMARINAGERCOIL, TAMILNADU</t>
  </si>
  <si>
    <t>MANIKANDAN NAGARAJAN</t>
  </si>
  <si>
    <t>74 RAMAN PUTHUR NAGERCOIL ST MARIS</t>
  </si>
  <si>
    <t>STREET AGASTEESWARAM NAGERCOIL</t>
  </si>
  <si>
    <t>,KANYA KUMARITAMILNADU,INDIA</t>
  </si>
  <si>
    <t>KANYAKUMARI</t>
  </si>
  <si>
    <t>VIGNESH V S .</t>
  </si>
  <si>
    <t>3-6A AMBALATHU VEEDU KONASERY</t>
  </si>
  <si>
    <t>SOORIACODE VILAVANCODE SOORIAC</t>
  </si>
  <si>
    <t>SIVAGANGA</t>
  </si>
  <si>
    <t>RAJENDRAN MURUGANANTHAM</t>
  </si>
  <si>
    <t>1 8 NAGAVAYAL ROAD KARAIKUDI</t>
  </si>
  <si>
    <t>DEVAKOTTAI ROAD SIVAGANAGA</t>
  </si>
  <si>
    <t>DEVAKOTTAI ROAD</t>
  </si>
  <si>
    <t>VELAYUTHAM KARTHIKEYAN</t>
  </si>
  <si>
    <t>95 A-1 AMBAL NAGAR KAARPARESAN</t>
  </si>
  <si>
    <t>THEVAKOTTAIDEVAKOTTAI TAMIL NADU</t>
  </si>
  <si>
    <t>S M KARTHIKEYAN</t>
  </si>
  <si>
    <t>D NO 21 NEW NO 37</t>
  </si>
  <si>
    <t>JUSTICE RAJASEKARAN ROAD</t>
  </si>
  <si>
    <t>SIVANGAGA</t>
  </si>
  <si>
    <t>VEERA RAGAVAN RAMAKRISHNAN</t>
  </si>
  <si>
    <t>1/178 MELA STREET</t>
  </si>
  <si>
    <t>CHINNAKANNANUR</t>
  </si>
  <si>
    <t>MANAMADURAI MANAMADURAI</t>
  </si>
  <si>
    <t>VIJAYAKUMAR VELU</t>
  </si>
  <si>
    <t>NO 158/21G ROAD STREET</t>
  </si>
  <si>
    <t>PUDHUKANDIGAI</t>
  </si>
  <si>
    <t>MUNIYANDI TAMILSELVAN</t>
  </si>
  <si>
    <t>S/OMuniyandi 32/129 A ANNA NAGAR 4TH STREET</t>
  </si>
  <si>
    <t>PANAPAKKAM</t>
  </si>
  <si>
    <t>KARTHIK . .</t>
  </si>
  <si>
    <t>3/389 PERUMAL KOVIL STREET</t>
  </si>
  <si>
    <t>METTU COLONY KOOVAM KUVAM</t>
  </si>
  <si>
    <t>GANESH T</t>
  </si>
  <si>
    <t>1 D/1, NEW 9</t>
  </si>
  <si>
    <t>VELINGAPATTARAI STREET</t>
  </si>
  <si>
    <t>GUNASUNDARAM TAMILSELVI</t>
  </si>
  <si>
    <t>92A/52 ARULPRUCHSELVI STREET</t>
  </si>
  <si>
    <t>GANDHI ROAD</t>
  </si>
  <si>
    <t>KUPPAN RAJESH KUMAR</t>
  </si>
  <si>
    <t>NO 269 PADMANABAN ST</t>
  </si>
  <si>
    <t>SALAVANPET</t>
  </si>
  <si>
    <t>A MOHAMMED ALI .</t>
  </si>
  <si>
    <t>15B PONNAM PILLAIYAR KOVIL</t>
  </si>
  <si>
    <t>STREET KONDAPURAM KAVERIPAKKAM</t>
  </si>
  <si>
    <t>KAVERIPAK ARAKUNAM</t>
  </si>
  <si>
    <t>NETHAJI . .</t>
  </si>
  <si>
    <t>27-6/ MARKABANDU STREET</t>
  </si>
  <si>
    <t>KIZH VISHARAM WALAJA</t>
  </si>
  <si>
    <t>TALUK VELLORE</t>
  </si>
  <si>
    <t>J SATHYANARAYANAN</t>
  </si>
  <si>
    <t>NO 1 12 VALLALAR STREET</t>
  </si>
  <si>
    <t>THIRUVALAM POST KATPADI</t>
  </si>
  <si>
    <t>TALUK VELLORE DISTRICT</t>
  </si>
  <si>
    <t>KATPADI</t>
  </si>
  <si>
    <t>MANJULA DHAMOTHARAN</t>
  </si>
  <si>
    <t>D NO 26 28 ARUMUGAM STREET</t>
  </si>
  <si>
    <t>OLDPET KRISHNAGIRI</t>
  </si>
  <si>
    <t>KRISHNAGIRIKRISHNAGIRI TAMIL NADU</t>
  </si>
  <si>
    <t>KRISHNAGIRI</t>
  </si>
  <si>
    <t>Sendil Kumar Periyasamy</t>
  </si>
  <si>
    <t>O.No.31 N.No.55</t>
  </si>
  <si>
    <t>Rangasamy Street</t>
  </si>
  <si>
    <t>Krishnagiri</t>
  </si>
  <si>
    <t>SHANMUGAM KARUNAGARAN</t>
  </si>
  <si>
    <t>2642 SUNGUNTHAR 1ST STREET</t>
  </si>
  <si>
    <t>KASBA A AMBUR TALUK AMBUR</t>
  </si>
  <si>
    <t>AMBUR AMBUR</t>
  </si>
  <si>
    <t>JAYASHREE THAMARAISELVAN</t>
  </si>
  <si>
    <t>155, LAKSHMI NAGAR</t>
  </si>
  <si>
    <t>HOSUR</t>
  </si>
  <si>
    <t>M.R.KAMALAKANNAN .</t>
  </si>
  <si>
    <t>87A/21 MURARI VARADAIYER STREET</t>
  </si>
  <si>
    <t>KATHIRESAN . .</t>
  </si>
  <si>
    <t>78 145B POOSAMARATHU KADU</t>
  </si>
  <si>
    <t>PACHAPILLAI ST KANNANKURICHI</t>
  </si>
  <si>
    <t>SHANMUGARAJAN G .</t>
  </si>
  <si>
    <t>DOOR NO.9/204,</t>
  </si>
  <si>
    <t>PUTHUR,</t>
  </si>
  <si>
    <t>NEYKKARAPATTY,</t>
  </si>
  <si>
    <t>MANGALAM R</t>
  </si>
  <si>
    <t>73/32 PANDIAN STREET</t>
  </si>
  <si>
    <t>ARUMUGA NAGAR</t>
  </si>
  <si>
    <t>ALAGAPURAMSALEM</t>
  </si>
  <si>
    <t>SIVAKUMAR PERUMAL</t>
  </si>
  <si>
    <t>NO 227 L R S GOZHIPANNI VIA</t>
  </si>
  <si>
    <t>MUTHAMPATTI GATE MUTHAMPATTI</t>
  </si>
  <si>
    <t>VAZHAPPADY MUTTAMPATTI SALEMSALEM TAMIL NADU</t>
  </si>
  <si>
    <t>PRASATH CHINNANNAN</t>
  </si>
  <si>
    <t>NO 86 1 ASSANKUTTAPATTI</t>
  </si>
  <si>
    <t>SALEM KATHIRIPATTI</t>
  </si>
  <si>
    <t>KATHIRIPATTISALEM TAMIL NADU</t>
  </si>
  <si>
    <t>SUBRAMANIAN SELVARAJ</t>
  </si>
  <si>
    <t>3/175 A ,348</t>
  </si>
  <si>
    <t>JAGIRREDDIPATTY</t>
  </si>
  <si>
    <t>P SUBRAMANIAM</t>
  </si>
  <si>
    <t>S/O PALANIAPPAN,NO 116,MARIYAMMAN</t>
  </si>
  <si>
    <t>KOVIL STREET,PUDUSAMPALLI,METTUR,</t>
  </si>
  <si>
    <t>VEERAKKALPUDHURSALEM</t>
  </si>
  <si>
    <t>SRATHNA .</t>
  </si>
  <si>
    <t>NO 9 3 36 APPAIYA CHETTY STREET</t>
  </si>
  <si>
    <t>JALAKANDAPURAM</t>
  </si>
  <si>
    <t>SALEM TAMIL NADU 636501</t>
  </si>
  <si>
    <t>D RAVI .</t>
  </si>
  <si>
    <t>19 VANIYAR STREET</t>
  </si>
  <si>
    <t>PENNAGARAM</t>
  </si>
  <si>
    <t>THANEESH VENKATACHALAM</t>
  </si>
  <si>
    <t>69 MITTATHARAR STREET</t>
  </si>
  <si>
    <t>DHARAMPUR</t>
  </si>
  <si>
    <t>Chitra S</t>
  </si>
  <si>
    <t>83 KAVIGNAR RAMALINGAM</t>
  </si>
  <si>
    <t>STREET NAMAKKAL NAMAKKAL</t>
  </si>
  <si>
    <t>SENTHILKUMAR</t>
  </si>
  <si>
    <t>8/1-14 B KURUKKUPARAIYUR</t>
  </si>
  <si>
    <t>ARASIRAMANI KULLAMPATTI</t>
  </si>
  <si>
    <t>SALEM TAMIL NADU</t>
  </si>
  <si>
    <t>K PADMANABAN</t>
  </si>
  <si>
    <t>5/53 KIZHAKKUKATTUKOTTAI 30 PA</t>
  </si>
  <si>
    <t>LLI PATTI NAMAKKAL BELUKURICHI</t>
  </si>
  <si>
    <t>NEAR A C CHRCH NAMAKKALNAMAKKAL TAMIL NADU</t>
  </si>
  <si>
    <t>SANGEETHA THANGAVEL .</t>
  </si>
  <si>
    <t>246 LAKE VILLALALY OUT</t>
  </si>
  <si>
    <t>KOOLAYAN THOTTAM PERIYASEMUR</t>
  </si>
  <si>
    <t>P RAMACHANDRAN</t>
  </si>
  <si>
    <t>20 KANNIMAR NAGAR AYAKATTU</t>
  </si>
  <si>
    <t>THOTTAM PERIYASEMUR(P)</t>
  </si>
  <si>
    <t>PERIYASEMUR PERIA SEMURERODE TAMIL NADU</t>
  </si>
  <si>
    <t>S ANANDHI</t>
  </si>
  <si>
    <t>226-B MUNIYAPPAN KOVIL STREET</t>
  </si>
  <si>
    <t>SOOPAI ERODE</t>
  </si>
  <si>
    <t>MUNIYAPPAN KOVIL STREETERODE TAMIL NADU</t>
  </si>
  <si>
    <t>SUNDARARAJ VANATHI</t>
  </si>
  <si>
    <t>8-B Pallipalayam (Post), Kumarapalayam Tk Pallipalayam</t>
  </si>
  <si>
    <t>Kongu Kalyanamandapam Backside</t>
  </si>
  <si>
    <t>KISOUR MURUGESAN</t>
  </si>
  <si>
    <t>18 SENGUNTHAPURAM 1 ST</t>
  </si>
  <si>
    <t>STREET PALLIPALAYAM</t>
  </si>
  <si>
    <t>SIVARANJANI .</t>
  </si>
  <si>
    <t>NO 166/11 - 166/ 12</t>
  </si>
  <si>
    <t>INDHIRA GANDHI STREET PALAYAPALAYAM</t>
  </si>
  <si>
    <t>ERODE COLLECTORATE</t>
  </si>
  <si>
    <t>RAJMOHAN R</t>
  </si>
  <si>
    <t>6 ,K K B BUILDING,</t>
  </si>
  <si>
    <t>NMS COMPUND,</t>
  </si>
  <si>
    <t>S P SRINIVASAN</t>
  </si>
  <si>
    <t>H NO 559</t>
  </si>
  <si>
    <t>PERUNDURAI ROAD</t>
  </si>
  <si>
    <t>A ANNADURAI</t>
  </si>
  <si>
    <t>1/154 NANDU PATTI PALLA GOUNDA</t>
  </si>
  <si>
    <t>APALAYAM ATTAVANAI PALLAGAOUND</t>
  </si>
  <si>
    <t>PERUNDURAIERODE TAMIL NADU</t>
  </si>
  <si>
    <t>JAYARAMAN</t>
  </si>
  <si>
    <t>12/69 EAST AYE GOUNDEN PALAYAM</t>
  </si>
  <si>
    <t>PATTAKKARANPALAYAM PO</t>
  </si>
  <si>
    <t>PERUNDURAI TKERODE TAMIL NADU</t>
  </si>
  <si>
    <t>BALU SHANMUGA RAJA</t>
  </si>
  <si>
    <t>S/O M Balu (L25A Vaikkalmedu Samy Complex</t>
  </si>
  <si>
    <t>RANGASAMY DHANASEKARAN</t>
  </si>
  <si>
    <t>2-55 MUNGILPALAYAM</t>
  </si>
  <si>
    <t>VALLIPURAM</t>
  </si>
  <si>
    <t>KRISHNASAMI JAGATHESAN</t>
  </si>
  <si>
    <t>1/34 MULAIYAMPOONDI KUMBAMPALAYAM</t>
  </si>
  <si>
    <t>KITTUCHAMY GOWRISANKAR</t>
  </si>
  <si>
    <t>4A, PERUNDURAI PADIMARIKADU PERUNDURAI</t>
  </si>
  <si>
    <t>RAKSAMPALAYAM</t>
  </si>
  <si>
    <t>K R BALU</t>
  </si>
  <si>
    <t>4 ERUKKADU THOTTAM</t>
  </si>
  <si>
    <t>KANAGAPURAM</t>
  </si>
  <si>
    <t>VELLODE VIAERODE TAMIL NADU</t>
  </si>
  <si>
    <t>PERIYASAMY.V.G</t>
  </si>
  <si>
    <t>DOOR NO 26 4 POYYERI</t>
  </si>
  <si>
    <t>KUPPICHIPALAYAM VILLAGE</t>
  </si>
  <si>
    <t>VELUR TAMIL NADUVELUR</t>
  </si>
  <si>
    <t>RAJAMANICKAM VANITHA SHREE</t>
  </si>
  <si>
    <t>D/O RAJAMANIKKAM ,KP BANGLOW STREET</t>
  </si>
  <si>
    <t>,176 ,C.N.PALAYAM</t>
  </si>
  <si>
    <t>DHASS SENTHILKUMAR .</t>
  </si>
  <si>
    <t>S O CHASS 21 MURUGAN RICEMILL</t>
  </si>
  <si>
    <t>STREET NERINJIPETTAI TP NULL</t>
  </si>
  <si>
    <t>B ANDREWAJAI . .</t>
  </si>
  <si>
    <t>31.EX-SERVICEMEN COLONY.</t>
  </si>
  <si>
    <t>BHAVANISAGAR (TP)</t>
  </si>
  <si>
    <t>BHAVANISAGAR</t>
  </si>
  <si>
    <t>SIVAKUMAR O</t>
  </si>
  <si>
    <t>17 KANDISALAI KARAPADI</t>
  </si>
  <si>
    <t>S CHENAJAMMA</t>
  </si>
  <si>
    <t>22/28 SOTHANPURAM ARULAVADI</t>
  </si>
  <si>
    <t>ARULAVADI SATHYAMANGALAM</t>
  </si>
  <si>
    <t>DIVAKAR VIJAYAKUMAR .</t>
  </si>
  <si>
    <t>5 347 THIRUVALLUR NAGAR</t>
  </si>
  <si>
    <t>KALLIPATTI GOBICHETTIPALAYAM</t>
  </si>
  <si>
    <t>THIRUVALLUR NAGAR KALLIPATTI</t>
  </si>
  <si>
    <t>CHENNIMALAI SUBRAMANI</t>
  </si>
  <si>
    <t>S/OChennimalai 6-29/1 SALLIMETTUVALASU OLAPALAIYAM</t>
  </si>
  <si>
    <t>SIVASUBRAMANIAM .</t>
  </si>
  <si>
    <t>S O NATARAAN 12 175 SIVAN ILLAM</t>
  </si>
  <si>
    <t>AGILANDAPURAM</t>
  </si>
  <si>
    <t>KANGEYAM</t>
  </si>
  <si>
    <t>TIRUPUR</t>
  </si>
  <si>
    <t>SUBRAMANI POONGODI</t>
  </si>
  <si>
    <t>SENGUNTHAPURAM</t>
  </si>
  <si>
    <t>34/44 GOWRI PURAM</t>
  </si>
  <si>
    <t>KILAKKU SENGUNTHAPURAM</t>
  </si>
  <si>
    <t>A AMEER BASHA</t>
  </si>
  <si>
    <t>51 JAMIYA NAGAR</t>
  </si>
  <si>
    <t>2ND STREET</t>
  </si>
  <si>
    <t>KARUR,TAMIL NADU</t>
  </si>
  <si>
    <t>PANNEERSELVAM VIVEKKUMAR</t>
  </si>
  <si>
    <t>S O PANNEERSELVAM NO 002 8 92</t>
  </si>
  <si>
    <t>ANTHARAPPATTI PUNAVASIPPATTI</t>
  </si>
  <si>
    <t>KRISHNARAYAPURAM PUNAVASIPATTI 639105 CHINTHALAVA</t>
  </si>
  <si>
    <t>KRISHNAN SRIKUMAR</t>
  </si>
  <si>
    <t>C/O Krishnan 601 Panjali Ammankovil Street</t>
  </si>
  <si>
    <t>Melavittukatty</t>
  </si>
  <si>
    <t>CHANDRA SEKAR K .</t>
  </si>
  <si>
    <t>2/86 NORTH STREET POYYAMANI</t>
  </si>
  <si>
    <t>POST POYYAMANI POYYAMAN</t>
  </si>
  <si>
    <t>.KARUR TAMIL NADU</t>
  </si>
  <si>
    <t>S PRASANNA VENGADESH</t>
  </si>
  <si>
    <t>6 A-1</t>
  </si>
  <si>
    <t>RAMAKRISHNAPURAM</t>
  </si>
  <si>
    <t>CHOKKAMPUTHUR ROAD</t>
  </si>
  <si>
    <t>N.GOPALA KRISHNAN</t>
  </si>
  <si>
    <t>11/1 RENUKA NAGAR AERODROME ROAD</t>
  </si>
  <si>
    <t>COIMBATORE SOUTH TAMIL NADU</t>
  </si>
  <si>
    <t>VILASINI .</t>
  </si>
  <si>
    <t>D NO 45D CHINNASAMY NAGAR</t>
  </si>
  <si>
    <t>GANAPATHY</t>
  </si>
  <si>
    <t>GEETHA D</t>
  </si>
  <si>
    <t>NO 2/148-43 DHARMARAJA NAGAR</t>
  </si>
  <si>
    <t>VADAMADURAI</t>
  </si>
  <si>
    <t>KURUDAMPALAYAMCOIMBATORE</t>
  </si>
  <si>
    <t>LOGESH GUNASEKARAN</t>
  </si>
  <si>
    <t>NO 51/2 JAWAHAR STREET</t>
  </si>
  <si>
    <t>JAWAHAR STREET - Coimbatore</t>
  </si>
  <si>
    <t>VELUSAMY MOHANAPRIYA</t>
  </si>
  <si>
    <t>NUMBER 29 K 20</t>
  </si>
  <si>
    <t>KRISHNASAMY ST NALVAR LAYOUT</t>
  </si>
  <si>
    <t>INDIRA NAGAR RATHINAPURI</t>
  </si>
  <si>
    <t>HARIHARAN N</t>
  </si>
  <si>
    <t>S F NO 460 NEAR RAGAVENDRA GARDEN</t>
  </si>
  <si>
    <t>SUBRAMANIAMPALAYAM RD G N MILLS P</t>
  </si>
  <si>
    <t>COIMBATORE TAMIL NADU</t>
  </si>
  <si>
    <t>SOUNDERRAJAN K</t>
  </si>
  <si>
    <t>NO 4/86</t>
  </si>
  <si>
    <t>WEST STREET</t>
  </si>
  <si>
    <t>THENNAMANALLUR POSTCOIMBATORE</t>
  </si>
  <si>
    <t>DHANALAKSHMI N</t>
  </si>
  <si>
    <t>15/69 C MAHALINGAPURAM</t>
  </si>
  <si>
    <t>VELLALORE</t>
  </si>
  <si>
    <t>SARAVANAN ARUMUGAM</t>
  </si>
  <si>
    <t>3 85 A ANNANAGAR SIRUMUGAI PO</t>
  </si>
  <si>
    <t>METTUPALAYAM</t>
  </si>
  <si>
    <t>N SUDHAKAR</t>
  </si>
  <si>
    <t>25 SRI VISHNUPRIYA GARDEN</t>
  </si>
  <si>
    <t>MANIYAKARAPALA</t>
  </si>
  <si>
    <t>KANGEYAM RDTIRUPPUR</t>
  </si>
  <si>
    <t>SR KANNAN</t>
  </si>
  <si>
    <t>NO 8 35 36A</t>
  </si>
  <si>
    <t>SENTHIL NAGAR 2ND STREET</t>
  </si>
  <si>
    <t>ANNA NAGAR WEST PN RDTIRUPPUR</t>
  </si>
  <si>
    <t>RAMASAMY SAKTHIMOHANKUMAR</t>
  </si>
  <si>
    <t>2/921 B Nethaji 8Th Street Sr Nagar North</t>
  </si>
  <si>
    <t>Andipalayam</t>
  </si>
  <si>
    <t>PRAKASH KUMAR .</t>
  </si>
  <si>
    <t>58 DOCTOR ANSARI STREET</t>
  </si>
  <si>
    <t>POLLACHI VTC POLLACHI</t>
  </si>
  <si>
    <t>RAMANATHAPURAM</t>
  </si>
  <si>
    <t>B BIRAVIN RAJESH .</t>
  </si>
  <si>
    <t>REDKNEE INDIA TECHNOLOGIES PVT</t>
  </si>
  <si>
    <t>LTD MANYATA TECH PARK NAGAWARA</t>
  </si>
  <si>
    <t>OUTER RING RD .BANGALORE</t>
  </si>
  <si>
    <t>G NAVEEN .</t>
  </si>
  <si>
    <t>2-1/SHOLADA,PUDHUMUND OOTY</t>
  </si>
  <si>
    <t>PUDHUMUNDOOTY TAMILNADU TAMIL NADU</t>
  </si>
  <si>
    <t>NILGIRI</t>
  </si>
  <si>
    <t>SUJITH SUNDARAN</t>
  </si>
  <si>
    <t>HOUSE NO 168/166 KALLICHAL</t>
  </si>
  <si>
    <t>CHARANGODE VILLAGE</t>
  </si>
  <si>
    <t>MUNNANAND THE NILGIRIS</t>
  </si>
  <si>
    <t>KANNUR</t>
  </si>
  <si>
    <t>SHIJU K JOSE .</t>
  </si>
  <si>
    <t>KARIMPONNUR HOUSE</t>
  </si>
  <si>
    <t>EDOLY</t>
  </si>
  <si>
    <t>VELLORA POST</t>
  </si>
  <si>
    <t>RANJINI C K</t>
  </si>
  <si>
    <t>C K HOUSE KALPOTH</t>
  </si>
  <si>
    <t>PARIYARAM KERALA</t>
  </si>
  <si>
    <t>NASHEEDA .</t>
  </si>
  <si>
    <t>KELOTH HOUSE PALLIPOYIL</t>
  </si>
  <si>
    <t>MOWANCHERI</t>
  </si>
  <si>
    <t>PRAVEEN KANICHERIYIL</t>
  </si>
  <si>
    <t>KANICHERI HOUSE</t>
  </si>
  <si>
    <t>CHANDANAKAMPARA CHEETHAPARA PAYYAVOOR</t>
  </si>
  <si>
    <t>PRABHATH K .</t>
  </si>
  <si>
    <t>SREEPADAM PATTIAM NEW STREET</t>
  </si>
  <si>
    <t>PATHAYAKUNNU PO</t>
  </si>
  <si>
    <t>K SREENIVASAN</t>
  </si>
  <si>
    <t>CHAMBADATH HOUSE</t>
  </si>
  <si>
    <t>PANOOR</t>
  </si>
  <si>
    <t>POOVALE SAJITH</t>
  </si>
  <si>
    <t>POOVALE HOUSE NEERCHAL PO</t>
  </si>
  <si>
    <t>KASARAGOD,KERALA</t>
  </si>
  <si>
    <t>MRIDUL BALAKRISHNAN .</t>
  </si>
  <si>
    <t>DWARAKA MARAKKAPPU KADAPPURAM</t>
  </si>
  <si>
    <t>PO THAIKKADAPPURAM</t>
  </si>
  <si>
    <t>NIKHIL C K</t>
  </si>
  <si>
    <t>THAYYIL PARAMBA THIRUTHIYAD</t>
  </si>
  <si>
    <t>PUTHIYARA KOZHIKODE</t>
  </si>
  <si>
    <t>.KOZHIKODE KERALA</t>
  </si>
  <si>
    <t>CHANDRASEKHARAN A</t>
  </si>
  <si>
    <t>24/820, ALIKKAL</t>
  </si>
  <si>
    <t>AZCHAVATTAM</t>
  </si>
  <si>
    <t>MANKAVUKOZHIKODE, KERALA</t>
  </si>
  <si>
    <t>BHAGIABINDU</t>
  </si>
  <si>
    <t>NANDANAM</t>
  </si>
  <si>
    <t>KOVOOR MLA ROAD</t>
  </si>
  <si>
    <t>KOVOORCALICUT</t>
  </si>
  <si>
    <t>UMESH P M</t>
  </si>
  <si>
    <t>NO 10/888, PULPARAMBILMETHAL.</t>
  </si>
  <si>
    <t>OLAVANNA PANTHEERANKAVU P O</t>
  </si>
  <si>
    <t>VINODAN P .</t>
  </si>
  <si>
    <t>CHANDRAKANTHAM HOUSE</t>
  </si>
  <si>
    <t>NEAR POOKAD TELEPHONE EX</t>
  </si>
  <si>
    <t>CHEMANCHERY</t>
  </si>
  <si>
    <t>JITHIN JOY</t>
  </si>
  <si>
    <t>513 VALLOOR 9 SULTHAN BATHERY</t>
  </si>
  <si>
    <t>UMMU HABEEBA</t>
  </si>
  <si>
    <t>CHATHERY HOUSE,VALAVANNOOR POST, MAL</t>
  </si>
  <si>
    <t>APPURAM</t>
  </si>
  <si>
    <t>MALAPPURAM KERALA</t>
  </si>
  <si>
    <t>SREEVALSAN .</t>
  </si>
  <si>
    <t>KALARICKAL HOUSE</t>
  </si>
  <si>
    <t>SREEKURUMBAKAVU</t>
  </si>
  <si>
    <t>TATTAMANGALAM</t>
  </si>
  <si>
    <t>PALAKKAD DT</t>
  </si>
  <si>
    <t>SONIYA P</t>
  </si>
  <si>
    <t>PATHIYIL VEEDU VATTEKKAD</t>
  </si>
  <si>
    <t>ELAVANCHERRY VATTEKKAD</t>
  </si>
  <si>
    <t>THRISSUR KERALA</t>
  </si>
  <si>
    <t>CHANDRAN C</t>
  </si>
  <si>
    <t>VALIYACHALLA</t>
  </si>
  <si>
    <t>GOVINDAPURAM PO</t>
  </si>
  <si>
    <t>JAYACHANDRAN GANGADHARAN</t>
  </si>
  <si>
    <t>PUTHEN HOUSE NEAR BLOCK OFFICE</t>
  </si>
  <si>
    <t>NEMMARA</t>
  </si>
  <si>
    <t>VITHANASSERYPALAKKAD</t>
  </si>
  <si>
    <t>MOHANAN M .</t>
  </si>
  <si>
    <t>SNEHALAYAM</t>
  </si>
  <si>
    <t>VILAKKANAMKODE</t>
  </si>
  <si>
    <t>MOOPANKULAM PATTANCHERY</t>
  </si>
  <si>
    <t>MANOJ A</t>
  </si>
  <si>
    <t>402 458 SREEAYYAPPAVIJAYAM 5</t>
  </si>
  <si>
    <t>KAVASSERY PANCHAYATH</t>
  </si>
  <si>
    <t>ALATHURKERALA</t>
  </si>
  <si>
    <t>THAHA S</t>
  </si>
  <si>
    <t>THAJ MANZIL,ARANAKKODE</t>
  </si>
  <si>
    <t>KOOTTALA POST KUNISSERY,ALATHUR</t>
  </si>
  <si>
    <t>KOOTTALA ERIMAYUR-IIPALAKKAD</t>
  </si>
  <si>
    <t>MANGALATH SAHADEVAN .</t>
  </si>
  <si>
    <t>MANGALATH(HOUSE)</t>
  </si>
  <si>
    <t>KIDANGU,LIC ROAD</t>
  </si>
  <si>
    <t>BIJESH .</t>
  </si>
  <si>
    <t>P/609 THATTAN PURAKKAL EZHUMAN</t>
  </si>
  <si>
    <t>GAD THIRUMITTACODE PANCHAYATH</t>
  </si>
  <si>
    <t>EZHUMANGADOTTAPALAM. KERALA</t>
  </si>
  <si>
    <t>KARTHIKA</t>
  </si>
  <si>
    <t>MALA P O</t>
  </si>
  <si>
    <t>THRITHALA</t>
  </si>
  <si>
    <t>KUNNAMKULAM</t>
  </si>
  <si>
    <t>SHABNAM ABU</t>
  </si>
  <si>
    <t>KOLAYAKKARAKATH HOUSE</t>
  </si>
  <si>
    <t>,KALLINGAL ROAD CHAVAKKAD</t>
  </si>
  <si>
    <t>,VADAKKEKAD VADAKKEKADTHRISSUR</t>
  </si>
  <si>
    <t>KIZHAKKUMBAT KUNHEEDU</t>
  </si>
  <si>
    <t>PAZHUR P O</t>
  </si>
  <si>
    <t>KUTTIPPURAM</t>
  </si>
  <si>
    <t>MALAPPURAMKERALA</t>
  </si>
  <si>
    <t>KURUTHICODE PANGELAN RADHAKRISHNAN</t>
  </si>
  <si>
    <t>KURUTHIKODE HOUSE</t>
  </si>
  <si>
    <t>PUNKUNNAM APARTMENT</t>
  </si>
  <si>
    <t>PUNKUNNAMTHRISSUR</t>
  </si>
  <si>
    <t>LAWRENCE P A</t>
  </si>
  <si>
    <t>PADIKKALA HOUSE</t>
  </si>
  <si>
    <t>PUNKUNNAM P O</t>
  </si>
  <si>
    <t>ANIE T T</t>
  </si>
  <si>
    <t>326, CHALISSERI HOUSE,</t>
  </si>
  <si>
    <t>THANNIAM GRAMA PANCHAYATH,</t>
  </si>
  <si>
    <t>AYYANTHOLE P O,THRISSUR, KERALA</t>
  </si>
  <si>
    <t>MIDHUN MICHAEL</t>
  </si>
  <si>
    <t>VALLULLY HOUSE</t>
  </si>
  <si>
    <t>BEHIND CONVENT</t>
  </si>
  <si>
    <t>S N PARK P O POOTHOLETRICHUR</t>
  </si>
  <si>
    <t>COLLEGE ROAD</t>
  </si>
  <si>
    <t>SANGEETHA NAIR</t>
  </si>
  <si>
    <t>FLAT 1A</t>
  </si>
  <si>
    <t>SKYLINE GRAND COURTS APARTMENT</t>
  </si>
  <si>
    <t>IYYUNNI ROAD,NEAR ST. THOAMAS COLL EGE, THRISSUR</t>
  </si>
  <si>
    <t>MUTTATH PATHROSE CHAKUNNY</t>
  </si>
  <si>
    <t>MUTTATH HOUSE,</t>
  </si>
  <si>
    <t>MAPCO MARG,</t>
  </si>
  <si>
    <t>P.O KURICHIRA,</t>
  </si>
  <si>
    <t>PAULJI JOSE THEKKANETH</t>
  </si>
  <si>
    <t>1 / 571 THEKKANTH HOUSE</t>
  </si>
  <si>
    <t>ANCHERY</t>
  </si>
  <si>
    <t>P O KURIACHIRA</t>
  </si>
  <si>
    <t>PULIKKAN THOMAS SISSILY</t>
  </si>
  <si>
    <t>CHAKKALAKKAL HOUSE</t>
  </si>
  <si>
    <t>KUTTUR P O</t>
  </si>
  <si>
    <t>THRISSUR, KERALA</t>
  </si>
  <si>
    <t>MANOJ .</t>
  </si>
  <si>
    <t>MANGHAT HOUSE</t>
  </si>
  <si>
    <t>KUTTUR PO</t>
  </si>
  <si>
    <t>MANJUSHA V K</t>
  </si>
  <si>
    <t>VADAKKUMURI HOUSE</t>
  </si>
  <si>
    <t>PAMBOOR, KUTTUR P O</t>
  </si>
  <si>
    <t>SUKUMARAN .</t>
  </si>
  <si>
    <t>PLOT NO 172</t>
  </si>
  <si>
    <t>HILL GARDENS</t>
  </si>
  <si>
    <t>KUTTANELLUR</t>
  </si>
  <si>
    <t>JOSE A M</t>
  </si>
  <si>
    <t>AKKARA PURAM HOUSE</t>
  </si>
  <si>
    <t>CHEVOOR PO</t>
  </si>
  <si>
    <t>SREEKALA .</t>
  </si>
  <si>
    <t>THAYYIL HOUSE</t>
  </si>
  <si>
    <t>KANIMANGALAM P O</t>
  </si>
  <si>
    <t>DINISH K K</t>
  </si>
  <si>
    <t>455 12/539 KURUPPATHPARAMBIL 7</t>
  </si>
  <si>
    <t>THANIKUDAM MADAKKATHARA PANCHAYAT</t>
  </si>
  <si>
    <t>REMYA JOBI</t>
  </si>
  <si>
    <t>ANANTHATHUPARAMBIL HOUSE EAST</t>
  </si>
  <si>
    <t>COMBARA IRINJALAKUDA</t>
  </si>
  <si>
    <t>SANTHA ROY</t>
  </si>
  <si>
    <t>KIZHAKKEPEEDIKA HOUSE</t>
  </si>
  <si>
    <t>IRINJALAKUDA P O</t>
  </si>
  <si>
    <t>ELIZABETH JOHN .</t>
  </si>
  <si>
    <t>ARYATTPARAMBIL , 21/457 KSE LT</t>
  </si>
  <si>
    <t>MANAGERS RESIDENCE,IRINJALAKUD</t>
  </si>
  <si>
    <t>NR RELIANCE SHOWROOM</t>
  </si>
  <si>
    <t>SUNIL</t>
  </si>
  <si>
    <t>PETTIKATTIL H</t>
  </si>
  <si>
    <t>PULAKKATTUKARA</t>
  </si>
  <si>
    <t>CHITTISSERY POTHRISSUR</t>
  </si>
  <si>
    <t>MILTON LAZAR THAZHATH</t>
  </si>
  <si>
    <t>THAZHATH THORAV</t>
  </si>
  <si>
    <t>PUTHUKKAD P O</t>
  </si>
  <si>
    <t>MOHANDAS MUKKIL MADATHIL ARAVINDAKSHAMENON</t>
  </si>
  <si>
    <t>SECTION OFFICER</t>
  </si>
  <si>
    <t>KUNDAI ESTATE</t>
  </si>
  <si>
    <t>PALAPPILLY POTHRISSUR</t>
  </si>
  <si>
    <t>SHILPA ASOKAN</t>
  </si>
  <si>
    <t>VALLATH HOUSE</t>
  </si>
  <si>
    <t>GOVERNMENT HOSPITAL ROAD</t>
  </si>
  <si>
    <t>CHALAKUDY PO CHALAKUDI</t>
  </si>
  <si>
    <t>JYOTHISH PANAMPILLY</t>
  </si>
  <si>
    <t>PANAMPILLYKathikudam Kathikudam Kathikudam</t>
  </si>
  <si>
    <t>Kathikudam Kathikudam</t>
  </si>
  <si>
    <t>THARAKAN IGNATIUS JOE</t>
  </si>
  <si>
    <t>THARAKAN HOUSE,</t>
  </si>
  <si>
    <t>IV/38 AMALA NAGAR HOUSING COMPLEX,</t>
  </si>
  <si>
    <t>AMALA NAGAR.THRISSUR THRISSUR</t>
  </si>
  <si>
    <t>VINOD KALATHINGAL</t>
  </si>
  <si>
    <t>POURNAMI</t>
  </si>
  <si>
    <t>CHERPU P O</t>
  </si>
  <si>
    <t>TRICHURTRICHUR</t>
  </si>
  <si>
    <t>CHIRACKEL RAMA PANICKER MUKUNDAN</t>
  </si>
  <si>
    <t>SREEPADMAM</t>
  </si>
  <si>
    <t>NATTIKA POTHRISSUR</t>
  </si>
  <si>
    <t>MUKUNDAN C R</t>
  </si>
  <si>
    <t>NATTIKA P O</t>
  </si>
  <si>
    <t>GANGADHARAN V R</t>
  </si>
  <si>
    <t>VELEKKAT HOUSE</t>
  </si>
  <si>
    <t>KAZHIBRAM P O</t>
  </si>
  <si>
    <t>SUBHASH E V</t>
  </si>
  <si>
    <t>4/511, ERANEZHATH,</t>
  </si>
  <si>
    <t>TALIKULAM GRAMA PANCHAYAT,</t>
  </si>
  <si>
    <t>TRICHUR,KERALA</t>
  </si>
  <si>
    <t>T M UNNIKRISHNAN</t>
  </si>
  <si>
    <t>THAIVALAPPIL HOUSE</t>
  </si>
  <si>
    <t>P O VADAKKUMMURY</t>
  </si>
  <si>
    <t>CHANDRAN K K</t>
  </si>
  <si>
    <t>KUTTIKKATTUPARAMBIL</t>
  </si>
  <si>
    <t>OLD POST OFFICE RD</t>
  </si>
  <si>
    <t>PERINGOTTUKAR,VADAKKUMMURI</t>
  </si>
  <si>
    <t>MINI .</t>
  </si>
  <si>
    <t>KALLINGAL HOUSE AISWARAYA</t>
  </si>
  <si>
    <t>ROAD , CHAZHOOR</t>
  </si>
  <si>
    <t>MOHAMED ALI K K</t>
  </si>
  <si>
    <t>KAKKASSERY HOUSE</t>
  </si>
  <si>
    <t>PADINJATTUMURI CHERPU WEST</t>
  </si>
  <si>
    <t>PADINJATTUMURI P OTHRISSUR</t>
  </si>
  <si>
    <t>RAMAKRISHNAN M S .</t>
  </si>
  <si>
    <t>MADATHIPARAMBIL HOUSE</t>
  </si>
  <si>
    <t>P O POTTORE</t>
  </si>
  <si>
    <t>M G KAVU</t>
  </si>
  <si>
    <t>E M DEVARAJAN</t>
  </si>
  <si>
    <t>EDAPAL HOUSE</t>
  </si>
  <si>
    <t>MULLUKARA</t>
  </si>
  <si>
    <t>THRISSURTHRISSUR</t>
  </si>
  <si>
    <t>SIDHAN M V</t>
  </si>
  <si>
    <t>MOTENGATTIL HOUSE</t>
  </si>
  <si>
    <t>KANJANY POST</t>
  </si>
  <si>
    <t>ROBIN M V</t>
  </si>
  <si>
    <t>MELETT HOUSE</t>
  </si>
  <si>
    <t>NEAR ELITEPADI ENGANDIYUR</t>
  </si>
  <si>
    <t>P O TRICHUR KERALAINDIA</t>
  </si>
  <si>
    <t>NIPUN SOMAN</t>
  </si>
  <si>
    <t>NIRMALAYAM HOUSE KIZHAKE PURAM</t>
  </si>
  <si>
    <t>ARANATTUKKARA PO ARNATTUKARA</t>
  </si>
  <si>
    <t>SO THRISSURTHRISSUR KERALA</t>
  </si>
  <si>
    <t>SHAJI JOHN</t>
  </si>
  <si>
    <t>ALAPPAT HOUSE</t>
  </si>
  <si>
    <t>VILLADOM</t>
  </si>
  <si>
    <t>R V PURAMTHRISSUR</t>
  </si>
  <si>
    <t>JINTO K JOHNSON</t>
  </si>
  <si>
    <t>KOMBAN HOUSE KUTTUMUKKU P O</t>
  </si>
  <si>
    <t>RAMAVARMAPURAM</t>
  </si>
  <si>
    <t>RAMACHANDRAN M</t>
  </si>
  <si>
    <t>MAKKARA HOUSE</t>
  </si>
  <si>
    <t>P O ANTHIKKAD</t>
  </si>
  <si>
    <t>SURESH BABU M S</t>
  </si>
  <si>
    <t>MADAMBATH HOUSE,</t>
  </si>
  <si>
    <t>PADIYAM VILLAGE,</t>
  </si>
  <si>
    <t>ANTHIKKAD P.O</t>
  </si>
  <si>
    <t>SUDARSAN A</t>
  </si>
  <si>
    <t>2 A 11/740 ANIKKAL 10 OLLUKKAR</t>
  </si>
  <si>
    <t>GRANA PANCHAYAT NEAR SUBHRAMAN</t>
  </si>
  <si>
    <t>YAN TEMPLE DLLUKKARATHRISSUR KERALA</t>
  </si>
  <si>
    <t>KUNNAPPILLY NARAYANAN MURUKES</t>
  </si>
  <si>
    <t>KUNNAPILLY HOUSE</t>
  </si>
  <si>
    <t>VETTIKKAL</t>
  </si>
  <si>
    <t>MANNUTHY PO</t>
  </si>
  <si>
    <t>DAVIS C P</t>
  </si>
  <si>
    <t>CHIRAYATH MANJIYIL HOUSE</t>
  </si>
  <si>
    <t>NETTISSERY P O</t>
  </si>
  <si>
    <t>JAYADEVAN T P .</t>
  </si>
  <si>
    <t>THEKKEPALAZHY HOUSE</t>
  </si>
  <si>
    <t>P O NADAVARAMBA</t>
  </si>
  <si>
    <t>BABU A S</t>
  </si>
  <si>
    <t>ARYAMPARAMBIL (H)</t>
  </si>
  <si>
    <t>P O KOTHAPARAMBU</t>
  </si>
  <si>
    <t>JOY M F</t>
  </si>
  <si>
    <t>MANJALY HOUSE</t>
  </si>
  <si>
    <t>KANDANKULAM P O</t>
  </si>
  <si>
    <t>METHALA KODUNGALLUR</t>
  </si>
  <si>
    <t>SAJEEV K V .</t>
  </si>
  <si>
    <t>KALARIKKAL HOUSE</t>
  </si>
  <si>
    <t>P O KAIPAMANGALAM</t>
  </si>
  <si>
    <t>EDAMUTTAM</t>
  </si>
  <si>
    <t>SATHY T N</t>
  </si>
  <si>
    <t>KARIYANGATTIL HOUSE</t>
  </si>
  <si>
    <t>KALLETTUMKARA</t>
  </si>
  <si>
    <t>KALLETTUMKARATHRISSUR</t>
  </si>
  <si>
    <t>CLEMENT DAVIES</t>
  </si>
  <si>
    <t>21 722 ARIKKADAN</t>
  </si>
  <si>
    <t>MATHAI C J</t>
  </si>
  <si>
    <t>CHITTILAPPILLY HOUSE</t>
  </si>
  <si>
    <t>KATTOOR POST</t>
  </si>
  <si>
    <t>PRASADH ANTONY A</t>
  </si>
  <si>
    <t>AZCHANGADAN HOUSE</t>
  </si>
  <si>
    <t>MAPRANAM</t>
  </si>
  <si>
    <t>POST MADAYIKONAMTRICHUR</t>
  </si>
  <si>
    <t>RAJESH NARAYANAN</t>
  </si>
  <si>
    <t>RAIPARAMBAN HOUSE</t>
  </si>
  <si>
    <t>ELINJIPRA PO</t>
  </si>
  <si>
    <t>NEAR UNNIKKL TEMPLECHALAKUDY KERALA</t>
  </si>
  <si>
    <t>RAJESH T KUMARESAN</t>
  </si>
  <si>
    <t>HOUSE NUMBER X 1025A</t>
  </si>
  <si>
    <t>VELI ROAD FORTH</t>
  </si>
  <si>
    <t>KOCH PO KOCHIKOCHI</t>
  </si>
  <si>
    <t>C P SANKARANARAYANAN</t>
  </si>
  <si>
    <t>UNIVERSAL ASSOCIATES IX/1563</t>
  </si>
  <si>
    <t>GROUND FLOOR IST SIDE ROOM</t>
  </si>
  <si>
    <t>BHAT MEMORIAL BUILDING THOPPUMPADYCOCHIN</t>
  </si>
  <si>
    <t>JERIN .</t>
  </si>
  <si>
    <t>CHELLAKUDAM KARIKAMURI ROAD</t>
  </si>
  <si>
    <t>KOCHI 11</t>
  </si>
  <si>
    <t>M P GEORGE .</t>
  </si>
  <si>
    <t>XLV/22 MALIYECKAL HOUSE</t>
  </si>
  <si>
    <t>PACHALAM P O</t>
  </si>
  <si>
    <t>ANOOP T K</t>
  </si>
  <si>
    <t>39/2042</t>
  </si>
  <si>
    <t>LAKSHMI VIHAR</t>
  </si>
  <si>
    <t>ERNAKULAMKOCHI</t>
  </si>
  <si>
    <t>AJU JOHN VARGHESE</t>
  </si>
  <si>
    <t>JOY VILLA</t>
  </si>
  <si>
    <t>VYL OPILLY ROAD</t>
  </si>
  <si>
    <t>KALOORKOCHI</t>
  </si>
  <si>
    <t>ANILKUMAR T S</t>
  </si>
  <si>
    <t>NO 33/1053</t>
  </si>
  <si>
    <t>THARAYIL PUTHENVEEDU</t>
  </si>
  <si>
    <t>PONNURUNNI VYTTILAKOCHI</t>
  </si>
  <si>
    <t>SIMMI C B</t>
  </si>
  <si>
    <t>CIRIN NIVAS</t>
  </si>
  <si>
    <t>HOUSE NO 533</t>
  </si>
  <si>
    <t>ELAMAKKARA P OKOCHI, KERALA</t>
  </si>
  <si>
    <t>GITA RAMESH</t>
  </si>
  <si>
    <t>KAIPALI APARTMENTS</t>
  </si>
  <si>
    <t>SANKARAN BHADRAN NAIR</t>
  </si>
  <si>
    <t>16/432 BHAVANYASREE</t>
  </si>
  <si>
    <t>18 TRIPUNITHURA</t>
  </si>
  <si>
    <t>THAMARAMKULANGARA</t>
  </si>
  <si>
    <t>SONY THOMAS</t>
  </si>
  <si>
    <t>306 660</t>
  </si>
  <si>
    <t>PILLUKATT</t>
  </si>
  <si>
    <t>7, UDYAMPEROORERNAKULAM</t>
  </si>
  <si>
    <t>MANNANCHERIL GEORGE KURIEN</t>
  </si>
  <si>
    <t>MANNANCHERIL HOUSE</t>
  </si>
  <si>
    <t>CHOTTANIKKARA P O</t>
  </si>
  <si>
    <t>PRASAD K R</t>
  </si>
  <si>
    <t>135, KAVUNGAL</t>
  </si>
  <si>
    <t>8, EDAVANAKAD</t>
  </si>
  <si>
    <t>GANAMADHU CHANDRABHANU MADARAKKAL</t>
  </si>
  <si>
    <t>MADARAKKAL HOUSE</t>
  </si>
  <si>
    <t>NARAKKAL P O</t>
  </si>
  <si>
    <t>VATHERUPARAMBIL ANTO MARTINWELLS</t>
  </si>
  <si>
    <t>FLAT NO 355 VATHERUPARAMBIL 4</t>
  </si>
  <si>
    <t>ELAMKUNNAPUZHA</t>
  </si>
  <si>
    <t>MATHEW PAUL</t>
  </si>
  <si>
    <t>ADVOCATE</t>
  </si>
  <si>
    <t>13/359</t>
  </si>
  <si>
    <t>TREASURY ROAD</t>
  </si>
  <si>
    <t>GANESH V BOSE</t>
  </si>
  <si>
    <t>ROSE HOUSE</t>
  </si>
  <si>
    <t>FLOWER GARDENS</t>
  </si>
  <si>
    <t>PALLATHUKADAVU FERRY ROADNORTH KALAMASSERY</t>
  </si>
  <si>
    <t>PRAMITHALAKSHMI .</t>
  </si>
  <si>
    <t>374 (8/137), MANIMANDIRAM</t>
  </si>
  <si>
    <t>4, EZHIKKARA NORTH</t>
  </si>
  <si>
    <t>EZHIKKARA</t>
  </si>
  <si>
    <t>NORTH PARAVUR</t>
  </si>
  <si>
    <t>SUMITH M T</t>
  </si>
  <si>
    <t>MA EPPARAMBIL HOUSE</t>
  </si>
  <si>
    <t>12/283, CHERAI PO</t>
  </si>
  <si>
    <t>PALLIPPURAM</t>
  </si>
  <si>
    <t>BENSON JOSEPH PODUTHAS .</t>
  </si>
  <si>
    <t>6/173 PADATHUPARAMBIL HOUSE</t>
  </si>
  <si>
    <t>VARAPPUZHA LANDING P.O</t>
  </si>
  <si>
    <t>PARAVUR</t>
  </si>
  <si>
    <t>VARAPUZHA</t>
  </si>
  <si>
    <t>JOGY ABRAHAM .</t>
  </si>
  <si>
    <t>PRATHYASA (H)</t>
  </si>
  <si>
    <t>IRINGOLE P O</t>
  </si>
  <si>
    <t>PERUMBAVOOR</t>
  </si>
  <si>
    <t>DINESH KUMAR P V</t>
  </si>
  <si>
    <t>PARACKAL H</t>
  </si>
  <si>
    <t>NOOLELI ASSAMANOOR PBVR</t>
  </si>
  <si>
    <t>ELDHO MANI ABRAHAM</t>
  </si>
  <si>
    <t>ARACKAL ALLAPRA VENGOLA</t>
  </si>
  <si>
    <t>ALLAPRA</t>
  </si>
  <si>
    <t>ERNAKULAM KERALA</t>
  </si>
  <si>
    <t>SUBAIR M P .</t>
  </si>
  <si>
    <t>MEZHUKKATTIL HOUSE</t>
  </si>
  <si>
    <t>EDATHALA NORTH P.O</t>
  </si>
  <si>
    <t>ANISH C GOPURATHINGAL</t>
  </si>
  <si>
    <t>GOPURATHINGAL HOUSE</t>
  </si>
  <si>
    <t>KARAYAMPARAMBU</t>
  </si>
  <si>
    <t>KARUKUTTY P OERNAKULAM KERALA</t>
  </si>
  <si>
    <t>JOSEPH PALATTY VARGHESE</t>
  </si>
  <si>
    <t>PALATTY KOONATHAN HOUSE</t>
  </si>
  <si>
    <t>ANAPPARA ANAPPARA POST</t>
  </si>
  <si>
    <t>GEORGE P. KURIAKOSE</t>
  </si>
  <si>
    <t>PULICKAL HOUSE,</t>
  </si>
  <si>
    <t>NO.XII / 104 , DOCTOR'S LANE,</t>
  </si>
  <si>
    <t>U.C.COLLEGE P.O.</t>
  </si>
  <si>
    <t>IDUKKI</t>
  </si>
  <si>
    <t>ANEESH K</t>
  </si>
  <si>
    <t>PUTHUPARAMBIL HOUSE</t>
  </si>
  <si>
    <t>CHAPPATHU</t>
  </si>
  <si>
    <t>THIRUVALLA</t>
  </si>
  <si>
    <t>GAYATHRI E B</t>
  </si>
  <si>
    <t>ELAVUNKAL POTTENKAD</t>
  </si>
  <si>
    <t>BAISONVALLY LDUKKI</t>
  </si>
  <si>
    <t>CHITHIRAPURAMIDUKKI KERALA INDIA</t>
  </si>
  <si>
    <t>SANDHYA BHASKARAN NAIR</t>
  </si>
  <si>
    <t>MALAYILPARAMBIL (H)</t>
  </si>
  <si>
    <t>KOLANI PO</t>
  </si>
  <si>
    <t>THODUPUZHAKERALA</t>
  </si>
  <si>
    <t>CLEMENT TOM</t>
  </si>
  <si>
    <t>THALACHIRAYIL HOUSE</t>
  </si>
  <si>
    <t>MANIPPARA P O</t>
  </si>
  <si>
    <t>KARIMBANTHODUPUZHA KERALA</t>
  </si>
  <si>
    <t>ANJU O T .</t>
  </si>
  <si>
    <t>10/117 (13/277) ORAVAKKUZHIYIL</t>
  </si>
  <si>
    <t>VANNAPPURAM PANCHAYATH</t>
  </si>
  <si>
    <t>SUNNY VARGHESE .</t>
  </si>
  <si>
    <t>PARK LANE</t>
  </si>
  <si>
    <t>ARUN C THOMAS .</t>
  </si>
  <si>
    <t>CHETTISSERIL HOUSE</t>
  </si>
  <si>
    <t>GANDHINAGAR POST KOTTAYAM</t>
  </si>
  <si>
    <t>NISHA THOMAS .</t>
  </si>
  <si>
    <t>THANNICKAL HOUSE</t>
  </si>
  <si>
    <t>KOLLAD P.O</t>
  </si>
  <si>
    <t>JOSEPH THOMAS .</t>
  </si>
  <si>
    <t>KALLUKALAM</t>
  </si>
  <si>
    <t>MARKET ROAD</t>
  </si>
  <si>
    <t>CHANGANACHERRY</t>
  </si>
  <si>
    <t>RAHUL P R .</t>
  </si>
  <si>
    <t>PLATHOTTATHIL ANCHILIPPA</t>
  </si>
  <si>
    <t>MANNARAKAYAM PO KOOVAPPALLY</t>
  </si>
  <si>
    <t>JOBIN GEORGE</t>
  </si>
  <si>
    <t>VAZHAPPANADIYIL</t>
  </si>
  <si>
    <t>CHIRAKKADAVU P O KANJIRAPALLY</t>
  </si>
  <si>
    <t>KOTTAYAMKERALA</t>
  </si>
  <si>
    <t>SAJINI THOMAS</t>
  </si>
  <si>
    <t>594, CHIRATHALATTU</t>
  </si>
  <si>
    <t>11, VAKATHANAM</t>
  </si>
  <si>
    <t>VAKATHANAM</t>
  </si>
  <si>
    <t>TOM JOSEPH</t>
  </si>
  <si>
    <t>PADIYARA</t>
  </si>
  <si>
    <t>NEDUMKUNNAM</t>
  </si>
  <si>
    <t>NEDUMKUNNAM P OKOTTAYAM</t>
  </si>
  <si>
    <t>KIRAN KUMAR N</t>
  </si>
  <si>
    <t>PUNCHAMYALIL</t>
  </si>
  <si>
    <t>KIDANGOOR P O</t>
  </si>
  <si>
    <t>JIMSON MATHEW JOSE</t>
  </si>
  <si>
    <t>PLATHOTTAM HOUSE</t>
  </si>
  <si>
    <t>CHENGALAM</t>
  </si>
  <si>
    <t>KANJIRAMATTAM P OKOTTAYAM</t>
  </si>
  <si>
    <t>KANNAN KRISHNAN NAIR</t>
  </si>
  <si>
    <t>VRINDAVAN</t>
  </si>
  <si>
    <t>ONAMTHURUTHU P O</t>
  </si>
  <si>
    <t>V O GEORGE</t>
  </si>
  <si>
    <t>VALACHATHINAKOM HOUSE</t>
  </si>
  <si>
    <t>MEMURI P O</t>
  </si>
  <si>
    <t>MANJOORKOTTAYAM, KERALA</t>
  </si>
  <si>
    <t>HARIKUMAR P K</t>
  </si>
  <si>
    <t>PUTHEN PURAYIL HOUSE</t>
  </si>
  <si>
    <t>KOOVALLOOR P O</t>
  </si>
  <si>
    <t>KOTHAMANGALAMERNAKULAM</t>
  </si>
  <si>
    <t>BAIJU E K</t>
  </si>
  <si>
    <t>ELANJIKUDIYIL HOUSE</t>
  </si>
  <si>
    <t>ENANALLOOR P O</t>
  </si>
  <si>
    <t>POTHANICAD</t>
  </si>
  <si>
    <t>BONEY SAJI</t>
  </si>
  <si>
    <t>POTTACKAL HOUSE KUTHUKUZHY P</t>
  </si>
  <si>
    <t>O</t>
  </si>
  <si>
    <t>KOTHAMANGALAM</t>
  </si>
  <si>
    <t>ALAPPUZHA</t>
  </si>
  <si>
    <t>JOSEPH ROY MENDEZ</t>
  </si>
  <si>
    <t>KANACHAKKANATH HOUSE</t>
  </si>
  <si>
    <t>AROOR P O</t>
  </si>
  <si>
    <t>CHERTHALA</t>
  </si>
  <si>
    <t>PETER MANAC</t>
  </si>
  <si>
    <t>MANAK HOUSE</t>
  </si>
  <si>
    <t>CHATHENKERY PO</t>
  </si>
  <si>
    <t>DITTY JOSEKUTTY</t>
  </si>
  <si>
    <t>CHETHIKALAM</t>
  </si>
  <si>
    <t>CHEKKIDIKADU P O</t>
  </si>
  <si>
    <t>EDATHUAALLEPPY</t>
  </si>
  <si>
    <t>GEORGE K ABRAHAM</t>
  </si>
  <si>
    <t>KOZHIMALA HOUSE</t>
  </si>
  <si>
    <t>MYLAPRA PO</t>
  </si>
  <si>
    <t>NIKHIL BABU</t>
  </si>
  <si>
    <t>SRUTHI</t>
  </si>
  <si>
    <t>NEAR SDA HIGH SCHOOL</t>
  </si>
  <si>
    <t>KOTTARKAVU MAVELIKARA</t>
  </si>
  <si>
    <t>JOJIN JOSE SAMUEL</t>
  </si>
  <si>
    <t>MAMOOTTIL HOUSE THAZHAKARA P</t>
  </si>
  <si>
    <t>O MAVELIKKARA</t>
  </si>
  <si>
    <t>RAVINDRAN PILLAI</t>
  </si>
  <si>
    <t>USHAS MUTTOM SOUTH</t>
  </si>
  <si>
    <t>THATTARAMBALAM PO KANNAMANGALA</t>
  </si>
  <si>
    <t>MAVELIKKARAKERALA</t>
  </si>
  <si>
    <t>K P SAJU</t>
  </si>
  <si>
    <t>407 6 225 KUZHIYIL THEKKATHIL 12</t>
  </si>
  <si>
    <t>THEKKEKARA</t>
  </si>
  <si>
    <t>SULEELA SADANANDAN</t>
  </si>
  <si>
    <t>NALLAVEETTIL PUTHEN VILA</t>
  </si>
  <si>
    <t>UMBERNAD</t>
  </si>
  <si>
    <t>MAYAPPAN G</t>
  </si>
  <si>
    <t>KOTTAYADIYILHOUSE</t>
  </si>
  <si>
    <t>VETTUVENI HARIPAD PO</t>
  </si>
  <si>
    <t>ALAPPU2HA</t>
  </si>
  <si>
    <t>SANU THOMAS</t>
  </si>
  <si>
    <t>THOMAS BUNGLOW</t>
  </si>
  <si>
    <t>AAYANNELIKULANGARA</t>
  </si>
  <si>
    <t>KARUNAGAPPALLY P O</t>
  </si>
  <si>
    <t>Sarala Chandran</t>
  </si>
  <si>
    <t>SAGAR,TRA 14</t>
  </si>
  <si>
    <t>,KOLLAM</t>
  </si>
  <si>
    <t>KOLLAM,KOLLAM</t>
  </si>
  <si>
    <t>RAJALAKSHMI MAHADEVAN .</t>
  </si>
  <si>
    <t>REGA 86</t>
  </si>
  <si>
    <t>KOLLAM P O</t>
  </si>
  <si>
    <t>P L MANURAJ .</t>
  </si>
  <si>
    <t>LALITHA BHAVAN</t>
  </si>
  <si>
    <t>KUREEPUZHA WEST</t>
  </si>
  <si>
    <t>KLAVANADU P O</t>
  </si>
  <si>
    <t>JAYAN J SOLOMON .</t>
  </si>
  <si>
    <t>ANTERICKAL</t>
  </si>
  <si>
    <t>MULLUVILA</t>
  </si>
  <si>
    <t>VADAKKEVILA P O</t>
  </si>
  <si>
    <t>SAGAR MANAF</t>
  </si>
  <si>
    <t>1151/KUZHIKILAZHIKATHU VEEDU</t>
  </si>
  <si>
    <t>HOUSE,KOLLAM</t>
  </si>
  <si>
    <t>P O THIRUMULLAVARAM,KOLLAM</t>
  </si>
  <si>
    <t>SAJI P SOMAN</t>
  </si>
  <si>
    <t>HOMEO RESERCH CENTRE</t>
  </si>
  <si>
    <t>KOTTIYAM</t>
  </si>
  <si>
    <t>OPPOSITE OF HOTEL BRIGHTKOLLAM KERALA</t>
  </si>
  <si>
    <t>RAGHUNATHAN PILLAI KUNJUKRISHNA PILLAI</t>
  </si>
  <si>
    <t>PUTHOOR PUTHENVEEDU</t>
  </si>
  <si>
    <t>THEKKATHIL, VADAKKUMTHALAMEK</t>
  </si>
  <si>
    <t>PANMANA</t>
  </si>
  <si>
    <t>THUSHAR MURALEEKRISHNA</t>
  </si>
  <si>
    <t>KEERTHY T C 23/726 T C 5/1830(OLD)</t>
  </si>
  <si>
    <t>NADAKKAVU LANE</t>
  </si>
  <si>
    <t>PEROORKKADATRIVANDRUM</t>
  </si>
  <si>
    <t>SOORAJ SASIKUMAR</t>
  </si>
  <si>
    <t>KAMBIKKAKAM HOUSE</t>
  </si>
  <si>
    <t>KARIKKAKAM CHAKAI BEACH PO</t>
  </si>
  <si>
    <t>TRIVANDRUMKERALA,INDIA</t>
  </si>
  <si>
    <t>THIRUVANANTHAPURAM</t>
  </si>
  <si>
    <t>M NARAYANAN NAIR .</t>
  </si>
  <si>
    <t>TC42/271 DEVIKRIPA</t>
  </si>
  <si>
    <t>SREEVARAHAM</t>
  </si>
  <si>
    <t>THIRUVANATHAPURAM</t>
  </si>
  <si>
    <t>MANASA MANU</t>
  </si>
  <si>
    <t>TC-13/1865, ARRA-17, SAPHIRE,</t>
  </si>
  <si>
    <t>AVITTOM ROAD, KUMARAPURAM,</t>
  </si>
  <si>
    <t>MC PO TRIVANDRUM,</t>
  </si>
  <si>
    <t>ABRAHAM KURUVILA</t>
  </si>
  <si>
    <t>TC 10/1108 1 PATTAMBALATH HOUSE</t>
  </si>
  <si>
    <t>MELETHUMELE TRIVANDRUM</t>
  </si>
  <si>
    <t>BEENA ABRAHAM</t>
  </si>
  <si>
    <t>TC 10/1108 PATTAMBALATHU HOUSE</t>
  </si>
  <si>
    <t>MELATHUME MANIKANTESWARAM PO</t>
  </si>
  <si>
    <t>VATTIYOORKAVU</t>
  </si>
  <si>
    <t>SANKAR MEMON VELAYUDHAN NAIR</t>
  </si>
  <si>
    <t>AKKANS VP14/1330 SANKAR LANE</t>
  </si>
  <si>
    <t>MANIKATES WARMA</t>
  </si>
  <si>
    <t>VATTIYOORKAVU P O</t>
  </si>
  <si>
    <t>SUDHA KUNNATHPUTHIYAVEEDU</t>
  </si>
  <si>
    <t>EVRA-133, Sreevihar, Idapazhanji, Ilanjimoodu Lane, Thy</t>
  </si>
  <si>
    <t>BINU S</t>
  </si>
  <si>
    <t>THEKKE MANALIL VENKARA VEEDU</t>
  </si>
  <si>
    <t>4, PACHALLOOR</t>
  </si>
  <si>
    <t>THIRUVALLAM</t>
  </si>
  <si>
    <t>ASWATHY RENJITH .</t>
  </si>
  <si>
    <t>BHAVANI</t>
  </si>
  <si>
    <t>PUTHUPALLY NAGAR</t>
  </si>
  <si>
    <t>MUKKOLA, KALLAYAM</t>
  </si>
  <si>
    <t>VIJAYAN B</t>
  </si>
  <si>
    <t>DEVARAGAM</t>
  </si>
  <si>
    <t>KUDAVOOR PO THONNAKKAL</t>
  </si>
  <si>
    <t>P.KUTTAN .</t>
  </si>
  <si>
    <t>P K BHAVAN</t>
  </si>
  <si>
    <t>DHANUVACHAPURAM</t>
  </si>
  <si>
    <t>PUSHPLATA RUSTAGI</t>
  </si>
  <si>
    <t>24, AMARTALLA LANE,</t>
  </si>
  <si>
    <t>KOLKATA WEST BENGAL</t>
  </si>
  <si>
    <t>MADHAV PRAKASH MOHTA</t>
  </si>
  <si>
    <t>MOHTA HOUSE 4TH FLOOR 29 STRAND</t>
  </si>
  <si>
    <t>ROAD KOLKATA</t>
  </si>
  <si>
    <t>Kolkata</t>
  </si>
  <si>
    <t>5, 1ST FLOOR, KRISHNA LAL,</t>
  </si>
  <si>
    <t>DAS ROAD.</t>
  </si>
  <si>
    <t>ANJANA DEVI AGARWALA</t>
  </si>
  <si>
    <t>B 30 C I T BUILD 30 MADAN</t>
  </si>
  <si>
    <t>CHATTERJEE LANE SINGHI BAGAN</t>
  </si>
  <si>
    <t>BARABAZAR H O</t>
  </si>
  <si>
    <t>RANISH KUMAR TIWARY</t>
  </si>
  <si>
    <t>18, KALI KRISHNA TAGORE STREET</t>
  </si>
  <si>
    <t>NURUDDIN SK .</t>
  </si>
  <si>
    <t>2/H/1 NAWAB ABDUL LATIF STREET</t>
  </si>
  <si>
    <t>PARK STREET PARK STREET CIRCUS</t>
  </si>
  <si>
    <t>AVENUE</t>
  </si>
  <si>
    <t>Mrinal Kanti Saha</t>
  </si>
  <si>
    <t>8, Circus Market Place</t>
  </si>
  <si>
    <t>Park Circus</t>
  </si>
  <si>
    <t>KAMRUJJAMAN MONDAL .</t>
  </si>
  <si>
    <t>U 37 KARBALA ROAD BARTALA S O</t>
  </si>
  <si>
    <t>BARTAL D M DRESSES</t>
  </si>
  <si>
    <t>SUBRATA PATRA</t>
  </si>
  <si>
    <t>102/2B BAKUL BAGAN ROAD</t>
  </si>
  <si>
    <t>. WEST BENGAL</t>
  </si>
  <si>
    <t>AMIT PRASAD</t>
  </si>
  <si>
    <t>199 B T ROAD DUNLOP BRIDGE</t>
  </si>
  <si>
    <t>ALAMBAZAR S O ALAMBAZAR</t>
  </si>
  <si>
    <t>157/5 3RD FL SOUTH BARUIPARA</t>
  </si>
  <si>
    <t>LANE SOUBUJBITHI SCHOOL</t>
  </si>
  <si>
    <t>SARKAR KANTA DUTTA</t>
  </si>
  <si>
    <t>C/O DR PURNENDU SARKAR 4/70</t>
  </si>
  <si>
    <t>VIDYASAGAR COLONY</t>
  </si>
  <si>
    <t>ASISH CHANDRA</t>
  </si>
  <si>
    <t>PRABHASH CHANDRA JHA A 04103</t>
  </si>
  <si>
    <t>PODDAR VIHAR VIPROAD OPP</t>
  </si>
  <si>
    <t>HALDIRAMS TEGHARIA KOLKATA</t>
  </si>
  <si>
    <t>MANJU RANI BASAK</t>
  </si>
  <si>
    <t>P/40,</t>
  </si>
  <si>
    <t>C.I.T.RD, SCHEME NO 6 M/S</t>
  </si>
  <si>
    <t>WARD- 30, PHOOLBAGAN</t>
  </si>
  <si>
    <t>SAIBAL KUNDU</t>
  </si>
  <si>
    <t>C/O LATE DHRUBALAL KUNDU,6 8</t>
  </si>
  <si>
    <t>BANAMALI NASKAR ROAD,PARN ASREE KOLKATA,PARNASREE</t>
  </si>
  <si>
    <t>PALLY,PARNASREE PALLY,BEHALA,CIRCUS AVENUE</t>
  </si>
  <si>
    <t>KHORDHA</t>
  </si>
  <si>
    <t>SHAILESH KUMAR MISHRA</t>
  </si>
  <si>
    <t>R.C. BHAWAN, ROOM NO.2/27</t>
  </si>
  <si>
    <t>34A RATU SARKAR LANE</t>
  </si>
  <si>
    <t>SANDIP CHATTERJEE</t>
  </si>
  <si>
    <t>1/2 PRANTIK NAYABAD PO-</t>
  </si>
  <si>
    <t>PANCHASHAYAR PS-PURBA JADAVPUR</t>
  </si>
  <si>
    <t>LP-207/65/2//13 NR MAYFAIRRUBYKOLKATA WEST BENGAL</t>
  </si>
  <si>
    <t>KIRON ROYE</t>
  </si>
  <si>
    <t>B-43, JALVAYU VIHAR CO.OP. HSG. SOC.</t>
  </si>
  <si>
    <t>BLOCK-LB, SECTOR-III,</t>
  </si>
  <si>
    <t>SALT LAKE, NEAR CIT BUILDINGKOLKATA</t>
  </si>
  <si>
    <t>RINA ROY .</t>
  </si>
  <si>
    <t>C/31 L V PARK BARANAGAR (M)</t>
  </si>
  <si>
    <t>ISI PO</t>
  </si>
  <si>
    <t>NORTH 24 PARGANAS</t>
  </si>
  <si>
    <t>ANKIT JAISWAL</t>
  </si>
  <si>
    <t>109 CHOUDHURY PARA TITAGARH M</t>
  </si>
  <si>
    <t>SUDIPTA MUKHERJEE</t>
  </si>
  <si>
    <t>FL-3, MANORANJAN ABASAN,</t>
  </si>
  <si>
    <t>AMARABOTY, NABAPALLY</t>
  </si>
  <si>
    <t>BARASAT, NORTH 24 PARGANAS</t>
  </si>
  <si>
    <t>BARDHAMAN</t>
  </si>
  <si>
    <t>UJJAL DASGUPTA .</t>
  </si>
  <si>
    <t>MADHYAMGRAM M UDAYRAJPUR</t>
  </si>
  <si>
    <t>NORTH 24 PGRS</t>
  </si>
  <si>
    <t>UDAYRAJPUR SANGHA CLUB</t>
  </si>
  <si>
    <t>CHITTARANJAN BISWAS</t>
  </si>
  <si>
    <t>669A BASUNAGAR GATE NO 1</t>
  </si>
  <si>
    <t>MADHYAMGRAM M</t>
  </si>
  <si>
    <t>MADHYAMGRAMNORTH 24 PARGANAS WEST BENGAL</t>
  </si>
  <si>
    <t>DEBASISH BISWAS</t>
  </si>
  <si>
    <t>232 MICHAEL NAGAR</t>
  </si>
  <si>
    <t>SHYAMA PROSAD BOSE</t>
  </si>
  <si>
    <t>NO.289, NILACHAL</t>
  </si>
  <si>
    <t>BIRATI</t>
  </si>
  <si>
    <t>SANTOSH RAJAK</t>
  </si>
  <si>
    <t>RAJAR HAT RECKJOANI</t>
  </si>
  <si>
    <t>CT RAJARHAT</t>
  </si>
  <si>
    <t>NORTH TWENTY FOUR PARGANA</t>
  </si>
  <si>
    <t>SOMA PAUL</t>
  </si>
  <si>
    <t>PO+PS.BARUIPUR</t>
  </si>
  <si>
    <t>VILL-DUTTAPARA(MONDAL PARA)</t>
  </si>
  <si>
    <t>NEAR MONDAL PARA DURGA MONDIRDIST-24PGS(S), W.B.</t>
  </si>
  <si>
    <t>RATNA CHOWDHURY .</t>
  </si>
  <si>
    <t>NATUN PARA MALLIKPUR MALLICK</t>
  </si>
  <si>
    <t>POREMAA CHANDI MARKET</t>
  </si>
  <si>
    <t>CO RANJIT SAHA NEAR KRISHNA</t>
  </si>
  <si>
    <t>MEDICAL JHOWTALA ROAD</t>
  </si>
  <si>
    <t>PURBACHAL GALI</t>
  </si>
  <si>
    <t>GANGADHAR SHARMA</t>
  </si>
  <si>
    <t>83/ 1</t>
  </si>
  <si>
    <t>M C GHOSH LANE</t>
  </si>
  <si>
    <t>RAMESH KUMAR GOLCHHA HUF</t>
  </si>
  <si>
    <t>FLAT - 508A</t>
  </si>
  <si>
    <t>NILGIRI APARTMENTS</t>
  </si>
  <si>
    <t>2 WATKINGS LANE</t>
  </si>
  <si>
    <t>FATMA BEGUM</t>
  </si>
  <si>
    <t>13, MAINUDDIN ANSARI ROAD</t>
  </si>
  <si>
    <t>P.O- BELUR MATH</t>
  </si>
  <si>
    <t>DIST- HOWRAH</t>
  </si>
  <si>
    <t>SEKH OMAR FARUQUE</t>
  </si>
  <si>
    <t>C/O SAFIUDDIN SK PARA NATIBPUR</t>
  </si>
  <si>
    <t>DOMJUR NR NATIBPUR NR NATIBPUR</t>
  </si>
  <si>
    <t>HOWRAH WEST BENGAL</t>
  </si>
  <si>
    <t>HOOGHLY</t>
  </si>
  <si>
    <t>NANI GOPAL BARMAN .</t>
  </si>
  <si>
    <t>BASANTA BAGAN DHARAMPUR</t>
  </si>
  <si>
    <t>RABINDRANAGAR CHINSURAH MAGRA</t>
  </si>
  <si>
    <t>NEAR TECHNO INDIA</t>
  </si>
  <si>
    <t>GOBINDA MANNA</t>
  </si>
  <si>
    <t>MONDLAI P O</t>
  </si>
  <si>
    <t>ILSOBAMONDLAI</t>
  </si>
  <si>
    <t>HOOGHLY WEST BENGAL</t>
  </si>
  <si>
    <t>SUBRATA GANGULY</t>
  </si>
  <si>
    <t>HARIDASPUR CHAMPTA</t>
  </si>
  <si>
    <t>RITWIK SAHA .</t>
  </si>
  <si>
    <t>197 A RADHAGOBINDA COLONY</t>
  </si>
  <si>
    <t>SHEORAPHULI SINGUR</t>
  </si>
  <si>
    <t>BAIDYABATI M</t>
  </si>
  <si>
    <t>PRADIP KUMAR BHAKAT</t>
  </si>
  <si>
    <t>24 Aluhatta</t>
  </si>
  <si>
    <t>P.O. Sheoraphuli</t>
  </si>
  <si>
    <t>HooghlyKolkata</t>
  </si>
  <si>
    <t>TIRTHANKAR GUPTA .</t>
  </si>
  <si>
    <t>NR SHIB MANDIR CLUB 172/1</t>
  </si>
  <si>
    <t>BIRESWAR BANERJEE STREET</t>
  </si>
  <si>
    <t>SERAMPUR UTTARPARA BHADRAKALI</t>
  </si>
  <si>
    <t>Sujata Paul</t>
  </si>
  <si>
    <t>20, Shibtala Lane</t>
  </si>
  <si>
    <t>Flat No. - 20/C/1&amp;2, Bhadrakali</t>
  </si>
  <si>
    <t>UttarparaHooghly</t>
  </si>
  <si>
    <t>PALLAB KHAN</t>
  </si>
  <si>
    <t>ARABINDA ROAD</t>
  </si>
  <si>
    <t>NABAGRAM</t>
  </si>
  <si>
    <t>UTTARPARADIST - HOOGHLY</t>
  </si>
  <si>
    <t>SOUMEN KOLEY .</t>
  </si>
  <si>
    <t>GENTEGORI PALASHI HOOGHLY</t>
  </si>
  <si>
    <t>NEAR PRIMARY SCHOOL</t>
  </si>
  <si>
    <t>BISWAJIT DARI</t>
  </si>
  <si>
    <t>BAGAN BATI PASHCHIMPARA</t>
  </si>
  <si>
    <t>BAGANBATI HARIPAL HOOGHLY</t>
  </si>
  <si>
    <t>.HOOGHLY WEST BENGAL</t>
  </si>
  <si>
    <t>SOURAV BHATTACHERJEE</t>
  </si>
  <si>
    <t>KESHIYA FATAK PARA DIGHIR</t>
  </si>
  <si>
    <t>PAR PO PS KATWA DIST</t>
  </si>
  <si>
    <t>BURDWANKATWA WEST BENGAL</t>
  </si>
  <si>
    <t>ATANU DAS</t>
  </si>
  <si>
    <t>DN - 139</t>
  </si>
  <si>
    <t>COKE OVEN COLONY</t>
  </si>
  <si>
    <t>DURGAPURDIST - BURDWAN</t>
  </si>
  <si>
    <t>BARUN PRAKASH DUTTA</t>
  </si>
  <si>
    <t>S/O BALARAM DUTTA H NO 4/11 NI</t>
  </si>
  <si>
    <t>BEDITA PLACE NEAR ANUKUL BENAC</t>
  </si>
  <si>
    <t>CHITY DURGAPUR NCORP BARDDHAMDURGAPUR WEST BENGAL</t>
  </si>
  <si>
    <t>JAYANTA GHOSH</t>
  </si>
  <si>
    <t>RADHANAGAR ROAD ASANSOL</t>
  </si>
  <si>
    <t>HIRAPUR BURDWAN</t>
  </si>
  <si>
    <t>.HIRAPUR WEST BENGAL</t>
  </si>
  <si>
    <t>BURNPUR</t>
  </si>
  <si>
    <t>SOMNATH MUKHERJEE</t>
  </si>
  <si>
    <t>DOMOHANI BAZAR DOMOHANI</t>
  </si>
  <si>
    <t>BARDDHAMAN WEST BENGAL</t>
  </si>
  <si>
    <t>KAUSHIK CHATTOPADHYAY</t>
  </si>
  <si>
    <t>D BLOCK, QTR NO.79/M CCIL PO-</t>
  </si>
  <si>
    <t>KANYAPUR BURDWAN</t>
  </si>
  <si>
    <t>KANAILAL DAS</t>
  </si>
  <si>
    <t>SUREKALNA KALNA SUREKANLA</t>
  </si>
  <si>
    <t>BARDDHAMAN NEAR SUREKALNA</t>
  </si>
  <si>
    <t>JHULANTALA</t>
  </si>
  <si>
    <t>SAPTARSHI BHATTACHARYA</t>
  </si>
  <si>
    <t>SHYAMAGANJ 15</t>
  </si>
  <si>
    <t>KALNA KALNA BURDWA</t>
  </si>
  <si>
    <t>N KALNA</t>
  </si>
  <si>
    <t>SEKH SAMSUL HODA</t>
  </si>
  <si>
    <t>RAINA</t>
  </si>
  <si>
    <t>RAYNA</t>
  </si>
  <si>
    <t>RAYNABURDDWAN WEST BENGAL</t>
  </si>
  <si>
    <t>WEST MIDNAPORE</t>
  </si>
  <si>
    <t>MAHANDRA SING</t>
  </si>
  <si>
    <t>SO GURUPADA SINGH KANKRAHARA</t>
  </si>
  <si>
    <t>PRASAD KANKRA HARA PRASAD</t>
  </si>
  <si>
    <t>PASCHIM MEDINIPUR KANKRA</t>
  </si>
  <si>
    <t>PATNA</t>
  </si>
  <si>
    <t>GOURI BANIK</t>
  </si>
  <si>
    <t>SUBHASPALLY TALPUKUR</t>
  </si>
  <si>
    <t>KHARAGPUR</t>
  </si>
  <si>
    <t>Medinipur</t>
  </si>
  <si>
    <t>SANTANU MAIKAP</t>
  </si>
  <si>
    <t>VILL JETHIA PO DEULI PS DANTAN</t>
  </si>
  <si>
    <t>DIST PASCHIM MEDINIPUR</t>
  </si>
  <si>
    <t>ANANTA CHAKRABORTY</t>
  </si>
  <si>
    <t>SHANGARPUR MAUJA GADAIL PART</t>
  </si>
  <si>
    <t>J L NO 85 MAJDA GAJOL</t>
  </si>
  <si>
    <t>MALDAWEST BENGAL INDIA</t>
  </si>
  <si>
    <t>ROHIT PAUL</t>
  </si>
  <si>
    <t>S/O-SURANJAN PAUL</t>
  </si>
  <si>
    <t>RR ROAD,MANOSH MANDIR LANE HAKIMPARA</t>
  </si>
  <si>
    <t>SILIGURI</t>
  </si>
  <si>
    <t>DARJEELING</t>
  </si>
  <si>
    <t>KAMAL KUMAR AGARWAL</t>
  </si>
  <si>
    <t>S O UDAY CHANDA AGARWAL</t>
  </si>
  <si>
    <t>STATION FEEDAR ROAD SILIGURI</t>
  </si>
  <si>
    <t>M CORP</t>
  </si>
  <si>
    <t>DARJILING</t>
  </si>
  <si>
    <t>RAJOT KUMAR GUHA</t>
  </si>
  <si>
    <t>1NO DABGRAM SHARATCHANDRA BOSE</t>
  </si>
  <si>
    <t>ROAD WARD NO23 SILIGURI M CORP</t>
  </si>
  <si>
    <t>RABINDRA SARANIDARJEELING WEST BENGAL</t>
  </si>
  <si>
    <t>BIMAL BHATTARAI</t>
  </si>
  <si>
    <t>UPPER BANSBOTAY NAMLA</t>
  </si>
  <si>
    <t>BANSBOTEY DARJEELING</t>
  </si>
  <si>
    <t>PULBAZAR DARJEELINGDARJEELING WEST BENGAL</t>
  </si>
  <si>
    <t>DHRUBA ROY</t>
  </si>
  <si>
    <t>GOMASTA PARA NEAR SITALA MANDIR</t>
  </si>
  <si>
    <t>PAHARPUR</t>
  </si>
  <si>
    <t>JALPAIGURI</t>
  </si>
  <si>
    <t>NISHA GOYALA</t>
  </si>
  <si>
    <t>FATHPUKUR PANI KAURI</t>
  </si>
  <si>
    <t>FATAPUKUR RAJGANJ</t>
  </si>
  <si>
    <t>BACKSIDE OF KALI MANDIRJALPAIGURI WEST BENGAL</t>
  </si>
  <si>
    <t>COOCH BEHAR</t>
  </si>
  <si>
    <t>BAPPI SARKAR</t>
  </si>
  <si>
    <t>SHAKUNIBALA PART SAKUNIBALA</t>
  </si>
  <si>
    <t>KOTWALI</t>
  </si>
  <si>
    <t>SUCHETA NATH</t>
  </si>
  <si>
    <t>JAGADANANDAPUR THANAPARA PO BETHUA</t>
  </si>
  <si>
    <t>DAHARI</t>
  </si>
  <si>
    <t>WEST BENGAL</t>
  </si>
  <si>
    <t>MRINMAY CHAKRABORTY</t>
  </si>
  <si>
    <t>BILWAGRAM</t>
  </si>
  <si>
    <t>BILLWAGRAM</t>
  </si>
  <si>
    <t>HARE RAM MRIDHA</t>
  </si>
  <si>
    <t>DHUBULIA BAZAR COLONY,STATION ROAD</t>
  </si>
  <si>
    <t>P.O. DHUBULIA</t>
  </si>
  <si>
    <t>DIST.NADIAWEST BENGAL</t>
  </si>
  <si>
    <t>BUDDHADEB HALDER</t>
  </si>
  <si>
    <t>VILLHOWLIA POTEHATTA</t>
  </si>
  <si>
    <t>PSTEHATTA DISTNADIA</t>
  </si>
  <si>
    <t>BINOD KUMAR SINGH</t>
  </si>
  <si>
    <t>A 12 PANCHER PALLI KALYANI</t>
  </si>
  <si>
    <t>.KALYANI WEST BENGAL</t>
  </si>
  <si>
    <t>BISWARUP GHOSH</t>
  </si>
  <si>
    <t>S/O: Naba Kumar Ghosh</t>
  </si>
  <si>
    <t>LAKSHMAN SARDAR</t>
  </si>
  <si>
    <t>SARDAR PARA GOBINDAPUR BABIA</t>
  </si>
  <si>
    <t>GOBINDAPUR NADIA BABLA PRIMARY</t>
  </si>
  <si>
    <t>SCHOOL KRISHNANAGAR (WB) DISTNADIA WEST BENGAL</t>
  </si>
  <si>
    <t>MANAS SEN</t>
  </si>
  <si>
    <t>BELDANGA</t>
  </si>
  <si>
    <t>BENEPARA</t>
  </si>
  <si>
    <t>MRITYUNJOY MARIK</t>
  </si>
  <si>
    <t>NO 25/2</t>
  </si>
  <si>
    <t>DAKSHIN BAISHNAB PARA ROAD</t>
  </si>
  <si>
    <t>NAIHATI PO GARIFANORTH 24 PARGANAS</t>
  </si>
  <si>
    <t>PROLAY KUMAR GHOSH</t>
  </si>
  <si>
    <t>118/2 ASHOKNAGAR PO ASHOK</t>
  </si>
  <si>
    <t>NAGAR DIST NORTH 24 PGS NR</t>
  </si>
  <si>
    <t>SUTANU GYM HABRAWEST BENGAL</t>
  </si>
  <si>
    <t>ARUP DAS</t>
  </si>
  <si>
    <t>HABRA M NORTH 24 PARGANAS,HIJALPUKUR</t>
  </si>
  <si>
    <t>IA,WEST BENGAL NEAR ANANDAMOYEE KAAL</t>
  </si>
  <si>
    <t>I BAARIHABRA WEST BENGAL</t>
  </si>
  <si>
    <t>BABUSONA MOLLA</t>
  </si>
  <si>
    <t>MOLLAR CHAK GAZI LASKAR KALONI</t>
  </si>
  <si>
    <t>O SARDAR PARA MOLLAR CHAK</t>
  </si>
  <si>
    <t>JOYNAGAR MOLLAR CHAK F P SCHLSOUTH 24 PARGANAS WEST BENGAL</t>
  </si>
  <si>
    <t>THATHAGATH RAO BOUNGHA</t>
  </si>
  <si>
    <t>JGE 10 TYPE I NEAR UHC</t>
  </si>
  <si>
    <t>JUNGLIGHAT A AND N ISLAND</t>
  </si>
  <si>
    <t>PORT BLAIR ANDAMAN NICOBAR</t>
  </si>
  <si>
    <t>RAMAKANTA DASH</t>
  </si>
  <si>
    <t>NEAR SAI TEMPLE AT/PO-</t>
  </si>
  <si>
    <t>GHATIKIA BHUBANESWAR</t>
  </si>
  <si>
    <t>SANJUKTA MISHRA</t>
  </si>
  <si>
    <t>AT N6/114 JAYEV VIHAR IRC VILLAGE</t>
  </si>
  <si>
    <t>NAYAPALLI BBSR</t>
  </si>
  <si>
    <t>BHUBANESHWAR ORISSA</t>
  </si>
  <si>
    <t>APARAJITA SENAPATI</t>
  </si>
  <si>
    <t>PLOT NO - 1234, BRAHMESWAR PATNA</t>
  </si>
  <si>
    <t>TANKAPANI, BHUBANESWAR BADAGARH BRIT</t>
  </si>
  <si>
    <t>COLONY, KHORDA BADAGARH BRIT COLONYKHORDA, ODISHA</t>
  </si>
  <si>
    <t>BIKASH KUMAR SAHOO</t>
  </si>
  <si>
    <t>AT-KASIPUR, PO-TAMANDO, PO-TAMANDO,</t>
  </si>
  <si>
    <t>BHUBANESWAR,KHORDHA</t>
  </si>
  <si>
    <t>BHUBANESWAR ODISHA</t>
  </si>
  <si>
    <t>LINGARAJ SAHOO</t>
  </si>
  <si>
    <t>PATARASAHI MAJHIHARA</t>
  </si>
  <si>
    <t>SARANGDHAR SAHOO PATNA</t>
  </si>
  <si>
    <t>MAJHIHARA KHORDHA ODISHA</t>
  </si>
  <si>
    <t>CUTTACK</t>
  </si>
  <si>
    <t>SUBHASISH SINGH</t>
  </si>
  <si>
    <t>SANKARPUR BARIKSAHI</t>
  </si>
  <si>
    <t>ARUNODAYA MARKET</t>
  </si>
  <si>
    <t>CUTTACK SADAR</t>
  </si>
  <si>
    <t>GOURIPRIYA SAHOO</t>
  </si>
  <si>
    <t>AT NABAGRAHSAHI</t>
  </si>
  <si>
    <t>PO CHOUDWAE</t>
  </si>
  <si>
    <t>NEAR AZAD CLUBCUTTACK ODISHA</t>
  </si>
  <si>
    <t>MANOJA KUMAR BARIK</t>
  </si>
  <si>
    <t>VIA -TARPUR</t>
  </si>
  <si>
    <t>JAGATSINGHPUR</t>
  </si>
  <si>
    <t>KENDRAPARA</t>
  </si>
  <si>
    <t>UDAYA KUMAR</t>
  </si>
  <si>
    <t>S/O NRUSINGHA MOHAPATRA</t>
  </si>
  <si>
    <t>CHUNABELARI JAGATSINGHAPUR</t>
  </si>
  <si>
    <t>ROJALIN BAL</t>
  </si>
  <si>
    <t>QR NO JC 68</t>
  </si>
  <si>
    <t>JAGANNATH COLONY MADHUBAN</t>
  </si>
  <si>
    <t>PARADEEP 1 PARADIPPARADEEP</t>
  </si>
  <si>
    <t>JAYANTA KUMAR BEHERA</t>
  </si>
  <si>
    <t>AT ALIBAG</t>
  </si>
  <si>
    <t>PO DEBIDWAR</t>
  </si>
  <si>
    <t>JAJPUR</t>
  </si>
  <si>
    <t>SANJIB KUMAR SARANGI</t>
  </si>
  <si>
    <t>AT SHRIRAM TRANSPORT FINANCE</t>
  </si>
  <si>
    <t>CO LTD, 1ST FLOOR, DR PRADHAN</t>
  </si>
  <si>
    <t>MARKET COMPLEX, NR CANARA BANK</t>
  </si>
  <si>
    <t>BHADRAK</t>
  </si>
  <si>
    <t>MANISH AGARWAL</t>
  </si>
  <si>
    <t>AT KANTAPAL PO CHARAMPA PS</t>
  </si>
  <si>
    <t>DIST BHADRAK</t>
  </si>
  <si>
    <t>MAYURBHANJ</t>
  </si>
  <si>
    <t>JAJATI KESHARI SAHOO</t>
  </si>
  <si>
    <t>AT GOUDGAN</t>
  </si>
  <si>
    <t>PO JASHIPUR</t>
  </si>
  <si>
    <t>DIST-MAYURBHANJ JAS GOVT</t>
  </si>
  <si>
    <t>GANJAM</t>
  </si>
  <si>
    <t>PRIYANKA GANTAYAT</t>
  </si>
  <si>
    <t>VILLAGELOCALITY VIPCOLONY</t>
  </si>
  <si>
    <t>GPTOWN BERHAMPUR PS</t>
  </si>
  <si>
    <t>BAIDYANATHPUR DISTRICT</t>
  </si>
  <si>
    <t>TUSARA RANJAN PRADHAN</t>
  </si>
  <si>
    <t>RAILWAY COLONY</t>
  </si>
  <si>
    <t>CHATRAPURGANJAM</t>
  </si>
  <si>
    <t>MOHAN LAL AGRAWAL</t>
  </si>
  <si>
    <t>S/O RAMOTAR AGRAWAL</t>
  </si>
  <si>
    <t>TIKRAPADA</t>
  </si>
  <si>
    <t>BALANGIR</t>
  </si>
  <si>
    <t>SAMBALPUR</t>
  </si>
  <si>
    <t>BISWANATH BISOI</t>
  </si>
  <si>
    <t>QR NO E9/2</t>
  </si>
  <si>
    <t>PO BURLA</t>
  </si>
  <si>
    <t>KAILASH CHANDRA SWAIN</t>
  </si>
  <si>
    <t>C P SRIKANTA</t>
  </si>
  <si>
    <t>GURU SWAIN PLANT SIDE ROAD</t>
  </si>
  <si>
    <t>ROURKELA</t>
  </si>
  <si>
    <t>SUNDERGARH</t>
  </si>
  <si>
    <t>CHANDAN SAHOO</t>
  </si>
  <si>
    <t>LUNGE LUNGE</t>
  </si>
  <si>
    <t>MICKY CHOUDHURY</t>
  </si>
  <si>
    <t>LEPHIRIPARA</t>
  </si>
  <si>
    <t>LEPHRIPADA</t>
  </si>
  <si>
    <t>LEPHRIPARA</t>
  </si>
  <si>
    <t>KAMRUP</t>
  </si>
  <si>
    <t>PRASENJIT BHATTACHARJEE</t>
  </si>
  <si>
    <t>NILACHAL HILL,HOUSING SOCIETY</t>
  </si>
  <si>
    <t>FLAT NO-4, NEAR MALIGAON CHARALI PANDU COLLEGE ROAD</t>
  </si>
  <si>
    <t>E TSUPONTHUNG EZUNG</t>
  </si>
  <si>
    <t>QUARTER NO 3289, SECTOR III</t>
  </si>
  <si>
    <t>REFINERYTOWNSHIP NOONMATI</t>
  </si>
  <si>
    <t>GUWAHATIASSAM</t>
  </si>
  <si>
    <t>ASSAM</t>
  </si>
  <si>
    <t>MANAS PRATIM GOSWAMI</t>
  </si>
  <si>
    <t>HNO14SANTI PATH RUKMINIGAON</t>
  </si>
  <si>
    <t>GUWAHATI KAMRUPMETROPOLITAN</t>
  </si>
  <si>
    <t>JYOTIRMOY DAS</t>
  </si>
  <si>
    <t>NATUN BAZAR BASISTHA NAGAR</t>
  </si>
  <si>
    <t>H/N 39 PO BASISTHA BAKRAPARA</t>
  </si>
  <si>
    <t>GUWAHATI ASSAM</t>
  </si>
  <si>
    <t>DHRUBA JYOTI BARUAH</t>
  </si>
  <si>
    <t>H N 388 SANKARDEV PATH</t>
  </si>
  <si>
    <t>HENGRABARI BORBARI GUWAHATI</t>
  </si>
  <si>
    <t>HENGRABARI</t>
  </si>
  <si>
    <t>BONGAIGAON</t>
  </si>
  <si>
    <t>NIKHIL TAPARIA</t>
  </si>
  <si>
    <t>BONGAIGAON PO DIST BONGAIGAON</t>
  </si>
  <si>
    <t>JORHAT</t>
  </si>
  <si>
    <t>DIGANTA KUMAR GOGOI</t>
  </si>
  <si>
    <t>NAGADERA VILLAGE P.O. NAKACHARI</t>
  </si>
  <si>
    <t>DIBRUGARH</t>
  </si>
  <si>
    <t>VASKAR JYOTI KHANIKAR</t>
  </si>
  <si>
    <t>VILL ASEB THERMAL COLONTY</t>
  </si>
  <si>
    <t>NEAR ASEB GUEST HOUSE</t>
  </si>
  <si>
    <t>NIZKADAMONI</t>
  </si>
  <si>
    <t>JOYDEEP DEY</t>
  </si>
  <si>
    <t>VILL TOWN SILCHAR TOWN,WORD NO 19,</t>
  </si>
  <si>
    <t>PS SILCHARSADAR,SUBDIVN SILCHAR DIST</t>
  </si>
  <si>
    <t>CACHAR,SILCHARASSAM,INDIA</t>
  </si>
  <si>
    <t>M DINCHIABOU</t>
  </si>
  <si>
    <t>LANGMEI VILLAGE TAMENGLONG</t>
  </si>
  <si>
    <t>TAMENGLONGMANIPUR</t>
  </si>
  <si>
    <t>AIZAWL</t>
  </si>
  <si>
    <t>AMRITA DUTTA</t>
  </si>
  <si>
    <t>H NO- 2/49 H</t>
  </si>
  <si>
    <t>KULIKAWN</t>
  </si>
  <si>
    <t>KOHIMA</t>
  </si>
  <si>
    <t>SUNIL KUMAR DANGI</t>
  </si>
  <si>
    <t>37 ASSAM RIFLES C/O 99</t>
  </si>
  <si>
    <t>APO KOHIMA</t>
  </si>
  <si>
    <t>DIMAPUR</t>
  </si>
  <si>
    <t>GRACE WANGNAO</t>
  </si>
  <si>
    <t>HALF NAGARJAN</t>
  </si>
  <si>
    <t>OPP SPIRIT OF FAITH</t>
  </si>
  <si>
    <t>ARTI SRIVASTAVA</t>
  </si>
  <si>
    <t>ASHIRWAD BHAWAN</t>
  </si>
  <si>
    <t>NORTH MANDIRI</t>
  </si>
  <si>
    <t>PHULWARI, PATNABIHAR</t>
  </si>
  <si>
    <t>PRAVEEN ALOK</t>
  </si>
  <si>
    <t>SHYAMSHREE SOUTH OF</t>
  </si>
  <si>
    <t>TARKESHWAR NATH PATH</t>
  </si>
  <si>
    <t>CHIRAIYANTAND</t>
  </si>
  <si>
    <t>KHUSHBOO KUMARI</t>
  </si>
  <si>
    <t>W O MAHESH KUMAR HARNI CHAK</t>
  </si>
  <si>
    <t>DEVI ASTHAN ANISHABAD</t>
  </si>
  <si>
    <t>PHILWARI</t>
  </si>
  <si>
    <t>HARNI CHAK DEVI ASTHAN</t>
  </si>
  <si>
    <t>ANISHABAD PHULWARI</t>
  </si>
  <si>
    <t>PRABHU DAYAL SINGH</t>
  </si>
  <si>
    <t>2 ADALUCHAK DAULATPUR TOWN</t>
  </si>
  <si>
    <t>VILL JAHANABAD ANCHAL</t>
  </si>
  <si>
    <t>JAHANABAD DISTT JAHANABADJAHANABAD BIHAR</t>
  </si>
  <si>
    <t>INDRAJIT KUMAR VERMA</t>
  </si>
  <si>
    <t>S/O:ASHOK KUMAR MEHTA,VILLAGE</t>
  </si>
  <si>
    <t>KHADIHA KHARDIHA</t>
  </si>
  <si>
    <t>NR DEVI ASTHAN</t>
  </si>
  <si>
    <t>JAMUI</t>
  </si>
  <si>
    <t>AJAY KUMAR</t>
  </si>
  <si>
    <t>VILL- GHORPARAN PO- GAURA</t>
  </si>
  <si>
    <t>PS- LAXMIPUR DIST- JAMUI</t>
  </si>
  <si>
    <t>RAJESH KUMAR VISHWAKARMA</t>
  </si>
  <si>
    <t>7, SUNDAR LAL LANE</t>
  </si>
  <si>
    <t>BEHIND HEAD POST OFFICE</t>
  </si>
  <si>
    <t>MEHDI CHAK BHAGALPUR, JAGDISHPURBIHAR</t>
  </si>
  <si>
    <t>BANKA</t>
  </si>
  <si>
    <t>ADITYA KUMAR ANUJ</t>
  </si>
  <si>
    <t>VILL SOHANI PS RAJOUN SOHANI</t>
  </si>
  <si>
    <t>AVINASH KUMAR</t>
  </si>
  <si>
    <t>PAITHANPURA PO KAHALGAON</t>
  </si>
  <si>
    <t>TOWN/VILL KAHALGAON ANCHAL KAHALGAON</t>
  </si>
  <si>
    <t>DIST BHAGALPURBIHAR</t>
  </si>
  <si>
    <t>GIRIDIH</t>
  </si>
  <si>
    <t>HARSHIT KUMAR GUPTA</t>
  </si>
  <si>
    <t>VILL- BENGABAD PO-BENGABAD</t>
  </si>
  <si>
    <t>PS-BENGABAD GIRIDIH</t>
  </si>
  <si>
    <t>ROHTAS</t>
  </si>
  <si>
    <t>MANISH KUMAR RAY</t>
  </si>
  <si>
    <t>VILL-BAUR POST</t>
  </si>
  <si>
    <t>AKHTIYARPUR</t>
  </si>
  <si>
    <t>Puja Devi</t>
  </si>
  <si>
    <t>KIRHINDI, VILLAGE-KIRHINDI</t>
  </si>
  <si>
    <t>POST-KIRHINDI, ROHTAS</t>
  </si>
  <si>
    <t>SHAILESH KUMAR</t>
  </si>
  <si>
    <t>BATASAPUR BODH GAYA</t>
  </si>
  <si>
    <t>BODHGAYA</t>
  </si>
  <si>
    <t>KUMARI ARCHANA</t>
  </si>
  <si>
    <t>BASIDHAR CAMPUS AKHARA</t>
  </si>
  <si>
    <t>CHOWK BISHNUGARH</t>
  </si>
  <si>
    <t>HAZARIBAG JHARKHAND</t>
  </si>
  <si>
    <t>SINOD KUMAR</t>
  </si>
  <si>
    <t>Near Hanuman Mandir Bahera</t>
  </si>
  <si>
    <t>Hazaribagh</t>
  </si>
  <si>
    <t>Tapin</t>
  </si>
  <si>
    <t>PRIYANKA MANDAL</t>
  </si>
  <si>
    <t>HNO-43 KOLA KUSUMA PS</t>
  </si>
  <si>
    <t>SARAIDHELA NEAR HARI MANDIR</t>
  </si>
  <si>
    <t>DHANBAD JHARKHAND</t>
  </si>
  <si>
    <t>NIKHIL KUMAR</t>
  </si>
  <si>
    <t>Q.NO.A/277 BHULI NAGAR A</t>
  </si>
  <si>
    <t>BLOCK DHALJORI</t>
  </si>
  <si>
    <t>GUNJA ASLAM</t>
  </si>
  <si>
    <t>BOSE COMPOUND BHULI ROAD</t>
  </si>
  <si>
    <t>NEAR KIRAN MEDICAL</t>
  </si>
  <si>
    <t>AZAD NAGAR</t>
  </si>
  <si>
    <t>BRINDABAN MANDAL</t>
  </si>
  <si>
    <t>S O NIMAY MANDAL SAPRA</t>
  </si>
  <si>
    <t>PO BURUDIH VILL GAMHARIA</t>
  </si>
  <si>
    <t>SARAI KELLA HARSWANJAMSHEDPUR</t>
  </si>
  <si>
    <t>JAMSHEDPUR</t>
  </si>
  <si>
    <t>WEST SINGHBHUM</t>
  </si>
  <si>
    <t>SUDIPTA MOHANTY</t>
  </si>
  <si>
    <t>SHER E PUNJAB DINDLI BASTI</t>
  </si>
  <si>
    <t>NEAR PURBAJ BUILDING</t>
  </si>
  <si>
    <t>ADITYAPUR 1</t>
  </si>
  <si>
    <t>SERAIKELA-KHARSAWAN</t>
  </si>
  <si>
    <t>DALIMA MAHATO</t>
  </si>
  <si>
    <t>#33 kadamdih, jamshedpur jamshedpur</t>
  </si>
  <si>
    <t>RANCHI</t>
  </si>
  <si>
    <t>BIMLA DEVI</t>
  </si>
  <si>
    <t>HOUSE NO J 4 METRO GALI NEAR</t>
  </si>
  <si>
    <t>JHANDA CHOWK KRISHNA NAGAR</t>
  </si>
  <si>
    <t>COLONY RATU ROAD RANCHI</t>
  </si>
  <si>
    <t>KUNDAN KUMAR CHOUDHARY</t>
  </si>
  <si>
    <t>SO VISHWANATH CHOUDHARY</t>
  </si>
  <si>
    <t>HNOE287 NEAR MOBILE TOWER</t>
  </si>
  <si>
    <t>SWARN JAYANTI NAGAR ROAD NO</t>
  </si>
  <si>
    <t>SACHIN KUMAR</t>
  </si>
  <si>
    <t>NEAR BOREYA HIGH SCHOOL</t>
  </si>
  <si>
    <t>ARSANDEY PO RANCHI JHARKHAND</t>
  </si>
  <si>
    <t>RANCHI JHARKHAND</t>
  </si>
  <si>
    <t>ARVIND KUMAR SAHU</t>
  </si>
  <si>
    <t>ARVIND KUMAR SAHU SO</t>
  </si>
  <si>
    <t>MATHURA SAHU TIN KONIYA TOLA</t>
  </si>
  <si>
    <t>POST BEREYA THANA KANKE</t>
  </si>
  <si>
    <t>JHARKHAND</t>
  </si>
  <si>
    <t>NITIN KUMAR</t>
  </si>
  <si>
    <t>BANDHGARI DIPATOLI</t>
  </si>
  <si>
    <t>POST BARIATU PS SADAR</t>
  </si>
  <si>
    <t>BARIATU RANCHI</t>
  </si>
  <si>
    <t>URMILA DEVI SHARMA</t>
  </si>
  <si>
    <t>W/O SHYAM SUNDER SHARMA</t>
  </si>
  <si>
    <t>PO RATU PS RATU SUNDAY MARKET</t>
  </si>
  <si>
    <t>RANCHIJHARKHAND</t>
  </si>
  <si>
    <t>SARAN</t>
  </si>
  <si>
    <t>RAJIV RANJAN</t>
  </si>
  <si>
    <t>Quarter No- 300- B, Barbatta, Railway Colony Barbatta,</t>
  </si>
  <si>
    <t>KUMAR SHIVAM</t>
  </si>
  <si>
    <t>C O VILL MAIRWA DUAM</t>
  </si>
  <si>
    <t>POST MAIRWA S OVASHISHTA PATHAK</t>
  </si>
  <si>
    <t>SIWAN</t>
  </si>
  <si>
    <t>BHARAT BHUSHAN PANDEY</t>
  </si>
  <si>
    <t>S/O NAGENDRA PANDEY,NEAR DURGA</t>
  </si>
  <si>
    <t>MANDIR,DHARAM MAKARIAR,HASUA,</t>
  </si>
  <si>
    <t>SIWAN, BIHAR</t>
  </si>
  <si>
    <t>MUZAFFARPUR</t>
  </si>
  <si>
    <t>AMAN ANAND</t>
  </si>
  <si>
    <t>CHAKBASU LANE INFRONT OF</t>
  </si>
  <si>
    <t>CHAIPMAIN GIRLS SCHOOL</t>
  </si>
  <si>
    <t>SYED SAIFUR REHMAN</t>
  </si>
  <si>
    <t>S O SYED FAZLUR RAHMAN 97A</t>
  </si>
  <si>
    <t>KANHAULI VISHUNDUTT NEAR</t>
  </si>
  <si>
    <t>MASJID RAMBAGH</t>
  </si>
  <si>
    <t>RAMBABOO SHAH</t>
  </si>
  <si>
    <t>64 CHAKASHARATAPATRI VILL PARU</t>
  </si>
  <si>
    <t>MUZAFFARPUR BIHAR</t>
  </si>
  <si>
    <t>SITAMARHI</t>
  </si>
  <si>
    <t>NITIN RAJ</t>
  </si>
  <si>
    <t>VILL BELSAND WARD NO 08</t>
  </si>
  <si>
    <t>NAGAR PANCHAYAT BELSAND PS</t>
  </si>
  <si>
    <t>BELSAND BELSAND</t>
  </si>
  <si>
    <t>WEST CHAMPARAN</t>
  </si>
  <si>
    <t>RESHU KUMAR</t>
  </si>
  <si>
    <t>S/O PREM NARAYAN TIWARI</t>
  </si>
  <si>
    <t>VILL PANCHRUKHIYA PO DUMARIYA ESTE THANA RAMNAGAR</t>
  </si>
  <si>
    <t>SYED AJAZUL HASAN</t>
  </si>
  <si>
    <t>NEAR MISKAR TOLI MASJID</t>
  </si>
  <si>
    <t>KALI BAGH</t>
  </si>
  <si>
    <t>BETTIAHBIHAR</t>
  </si>
  <si>
    <t>BETTIAH</t>
  </si>
  <si>
    <t>VIJAY KUMAR CHOUDHARY</t>
  </si>
  <si>
    <t>S/O-KAPIL DEO CHAUDHARY VILL</t>
  </si>
  <si>
    <t>PO BELSANDI TARA PS-BIBHUTIPUR</t>
  </si>
  <si>
    <t>SAMASTIPURSAMASTIPUR BIHAR</t>
  </si>
  <si>
    <t>BEGUSARAI</t>
  </si>
  <si>
    <t>RAJNISH KUMAR</t>
  </si>
  <si>
    <t>30 BARI EIGHU</t>
  </si>
  <si>
    <t>SAHARSA</t>
  </si>
  <si>
    <t>RAJESH KR SWARNSRI</t>
  </si>
  <si>
    <t>VIKASH NAGAR</t>
  </si>
  <si>
    <t>WARD NO 22</t>
  </si>
  <si>
    <t>NEAR PANI TANKI</t>
  </si>
  <si>
    <t>MITHUN KUMAR</t>
  </si>
  <si>
    <t>S/O JITENDRA YADAV AT/PO BALIA</t>
  </si>
  <si>
    <t>THANA- RU POULI BHAVA</t>
  </si>
  <si>
    <t>NEAR MIDDLE SCHOOLPURNIA BIHAR</t>
  </si>
  <si>
    <t>SUPAUL</t>
  </si>
  <si>
    <t>SONU KUMAR MISHRA</t>
  </si>
  <si>
    <t>BIRPUR WARD NO 13 BASANTPUR</t>
  </si>
  <si>
    <t>KISHANGANJ</t>
  </si>
  <si>
    <t>KOUSHAL AGARWAL</t>
  </si>
  <si>
    <t>POTHIYA BAZAR PAWAKHALI</t>
  </si>
  <si>
    <t>KISHANGANJ BIHAR</t>
  </si>
  <si>
    <t>LAXMIKANT BALAJIRAO LOHAKARE</t>
  </si>
  <si>
    <t>S O BALAJIRAO LOHAKARE DARGA</t>
  </si>
  <si>
    <t>ROAD SHANTI NAGAR PARBHANI</t>
  </si>
  <si>
    <t>431401 PARBHANI PARBHANI PARBHANI MAHARASHTRA</t>
  </si>
  <si>
    <t>DIST PARBHANI</t>
  </si>
  <si>
    <t>SHAIJU J KOORAN .</t>
  </si>
  <si>
    <t>KOORAN HOUSE, GANDHI GRAM</t>
  </si>
  <si>
    <t>AMBUJAKSHAN T . M .</t>
  </si>
  <si>
    <t>THOPPIKUNNEL (H)</t>
  </si>
  <si>
    <t>OORAMANA P O</t>
  </si>
  <si>
    <t>KAYANAD</t>
  </si>
  <si>
    <t>MUVATTUPUZHA</t>
  </si>
  <si>
    <t>JAFFER KHAN P.I .</t>
  </si>
  <si>
    <t>NO.137/2</t>
  </si>
  <si>
    <t>PUTHUPARAMPIL</t>
  </si>
  <si>
    <t>KOOTTICKAL P.O</t>
  </si>
  <si>
    <t>NANDAKUMARAN K B .</t>
  </si>
  <si>
    <t>BALANIVAS</t>
  </si>
  <si>
    <t>PERINGHOU P O</t>
  </si>
  <si>
    <t>MANOJ RASTOGI</t>
  </si>
  <si>
    <t>MUFTI TOLA</t>
  </si>
  <si>
    <t>RASTOGI DHARAM SHALA</t>
  </si>
  <si>
    <t>JAISON C J</t>
  </si>
  <si>
    <t>CHANDY HOUSE</t>
  </si>
  <si>
    <t>KANAKKATH LANE</t>
  </si>
  <si>
    <t>THIRUTHOOR TEMPLE ROAD, OLLUR</t>
  </si>
  <si>
    <t>ABHISHEK AGNIHOTRI</t>
  </si>
  <si>
    <t>127/381 W 1 SAKET NAGAR</t>
  </si>
  <si>
    <t>NARINDER KAUR</t>
  </si>
  <si>
    <t>9/1004</t>
  </si>
  <si>
    <t>HAILY ROAD</t>
  </si>
  <si>
    <t>NEW DELHINEW DELHI</t>
  </si>
  <si>
    <t>MAHESH KUMAR</t>
  </si>
  <si>
    <t>C 423 NANAK CHAND BASTI</t>
  </si>
  <si>
    <t>KOTLA MUBARAKPUR</t>
  </si>
  <si>
    <t>NIRDOSH KUMARI</t>
  </si>
  <si>
    <t>3801 NAI BASTI</t>
  </si>
  <si>
    <t>SUMAN SAXENA</t>
  </si>
  <si>
    <t>E-85</t>
  </si>
  <si>
    <t>QUEEN'S ROAD RAILWAY QUARTERS</t>
  </si>
  <si>
    <t>MITHAL PUL NAYA BAZARDELHI</t>
  </si>
  <si>
    <t>INDERA DEVI</t>
  </si>
  <si>
    <t>ROOP NAGAR</t>
  </si>
  <si>
    <t>TARUN BHASIN</t>
  </si>
  <si>
    <t>B 26 FLOOR II</t>
  </si>
  <si>
    <t>SHASHI BANSAL</t>
  </si>
  <si>
    <t>NEAR B -37 C.C.COLONYDELHI</t>
  </si>
  <si>
    <t>ROHIT DHIMAN</t>
  </si>
  <si>
    <t>S 4/64 OLD MAHAVIR NAGAR</t>
  </si>
  <si>
    <t>AJAY KUMAR GOEL</t>
  </si>
  <si>
    <t>3 NPL APARTMENT BLOCK H</t>
  </si>
  <si>
    <t>VIKASPURI</t>
  </si>
  <si>
    <t>TARSEM LAL NOTA</t>
  </si>
  <si>
    <t>RZ-17/14</t>
  </si>
  <si>
    <t>GALI NO.14</t>
  </si>
  <si>
    <t>TUGHLAKABAD EXTNNEW DELHI</t>
  </si>
  <si>
    <t>SOHAN MADHUKAR MINZ</t>
  </si>
  <si>
    <t>99, SOUTH PARK APARTMENT</t>
  </si>
  <si>
    <t>KALKAJI, OPP.B-BLOCK</t>
  </si>
  <si>
    <t>LOVKESH KUMAR</t>
  </si>
  <si>
    <t>A-600</t>
  </si>
  <si>
    <t>RAGHUBIR NGR</t>
  </si>
  <si>
    <t>URMILA DEVI</t>
  </si>
  <si>
    <t>218/79 A STNO 5 RAMESHWARNAGAR</t>
  </si>
  <si>
    <t>MODEL TOWN</t>
  </si>
  <si>
    <t>DEEPAK MALHOTRA</t>
  </si>
  <si>
    <t>C-9/2, II-ND FLOOR</t>
  </si>
  <si>
    <t>BANGLOW ROAD, ADARSH NAGAR</t>
  </si>
  <si>
    <t>SHANJAR PUR N S MANDIDELHI</t>
  </si>
  <si>
    <t>PRABHA SARIN</t>
  </si>
  <si>
    <t>HOUSE NO 274, GROUND FLOOR</t>
  </si>
  <si>
    <t>KOHAT ENCLAVE</t>
  </si>
  <si>
    <t>PITAMPURADELHI</t>
  </si>
  <si>
    <t>DARSHAN KUMAR HUF</t>
  </si>
  <si>
    <t>56 PUNJABI COLONY</t>
  </si>
  <si>
    <t>NARELA</t>
  </si>
  <si>
    <t>HEMANT KUMAR</t>
  </si>
  <si>
    <t>SO BATTU LAL MEENA RZF22232</t>
  </si>
  <si>
    <t>GALI NO19</t>
  </si>
  <si>
    <t>SUNIL KUMAR BALI</t>
  </si>
  <si>
    <t>RZ 37B SHANKAR PARK WEST SAGAR PUR</t>
  </si>
  <si>
    <t>GALI NO 3</t>
  </si>
  <si>
    <t>DELHIDELHI INDIA</t>
  </si>
  <si>
    <t>SATISH KALIA</t>
  </si>
  <si>
    <t>B -232</t>
  </si>
  <si>
    <t>GREATER KAILASH- I</t>
  </si>
  <si>
    <t>INDER PAL SINGH BAGGA</t>
  </si>
  <si>
    <t>H NO 94, SEC - 3</t>
  </si>
  <si>
    <t>TYPE IV</t>
  </si>
  <si>
    <t>SADIQ NAGARNEW DELHI, DELHI</t>
  </si>
  <si>
    <t>RATIKA SAXENA</t>
  </si>
  <si>
    <t>B-1/117</t>
  </si>
  <si>
    <t>PHASE-II</t>
  </si>
  <si>
    <t>PRAVESH GOSWAMI</t>
  </si>
  <si>
    <t>H N D/108</t>
  </si>
  <si>
    <t>STREET NO 4</t>
  </si>
  <si>
    <t>BHAJANPURANEW DELHI</t>
  </si>
  <si>
    <t>MADHU SUDAN SINGH</t>
  </si>
  <si>
    <t>C - 1 / 208 JANAK PURI</t>
  </si>
  <si>
    <t>JANAKPURI B - 1 S.O.</t>
  </si>
  <si>
    <t>WEST DELHI DELHI</t>
  </si>
  <si>
    <t>SHASHI KATYAL</t>
  </si>
  <si>
    <t>C- 1 A/106 c</t>
  </si>
  <si>
    <t>JANAK PURI</t>
  </si>
  <si>
    <t>MANJU LUTHRA</t>
  </si>
  <si>
    <t>G-161, PUSHKAR ENCLAVE</t>
  </si>
  <si>
    <t>PASCHIM VIHAR</t>
  </si>
  <si>
    <t>SANJAY KUMAR JAIN</t>
  </si>
  <si>
    <t>C/O SANJAY JAIN, G 195 FF, PUSHKAR</t>
  </si>
  <si>
    <t>ENCLAVE, MCDONALD, PASCHIM VIHAR,</t>
  </si>
  <si>
    <t>WEST DELHI, NEAR RADDISON BLUE HOTELDELHI,DELHI</t>
  </si>
  <si>
    <t>RAVINDER KUMAR</t>
  </si>
  <si>
    <t>J 69</t>
  </si>
  <si>
    <t>BERIWALA BAGH SUBHASH NAGAR</t>
  </si>
  <si>
    <t>VIRESH PRINJA HUF</t>
  </si>
  <si>
    <t>C-1-1622 VASANT KUNJ</t>
  </si>
  <si>
    <t>MOHAN SINGH CHHETRI</t>
  </si>
  <si>
    <t>176 POCKET VII</t>
  </si>
  <si>
    <t>SAPTARISHI APPARTMENT</t>
  </si>
  <si>
    <t>SECTOR 23 ROHININEW DELHI</t>
  </si>
  <si>
    <t>SUMIT NAGAR</t>
  </si>
  <si>
    <t>POCKET D-17</t>
  </si>
  <si>
    <t>HOUSE NO-362</t>
  </si>
  <si>
    <t>SECTOR-III ROHINIDELHI</t>
  </si>
  <si>
    <t>POONAM JAIN</t>
  </si>
  <si>
    <t>B 8/32</t>
  </si>
  <si>
    <t>ATTAM VALLABH VIHAR</t>
  </si>
  <si>
    <t>SECTOR-13 ROHININEW DELHI</t>
  </si>
  <si>
    <t>KANIKA SAHU</t>
  </si>
  <si>
    <t>GH-9/336, PASCHIM VIHAR MTNL OFFICE,SUNDER VIHAR</t>
  </si>
  <si>
    <t>MANI LAL CHAUDHARY</t>
  </si>
  <si>
    <t>FLAT NO-69</t>
  </si>
  <si>
    <t>GROUND FLOOR, BLOCK-AD</t>
  </si>
  <si>
    <t>SHALIMAR BAGH</t>
  </si>
  <si>
    <t>NARENDER JAIN</t>
  </si>
  <si>
    <t>AL - 17</t>
  </si>
  <si>
    <t>PREM PARKASH KHURANA</t>
  </si>
  <si>
    <t>H.NO.-BK-II-85</t>
  </si>
  <si>
    <t>ANAND KUMAR SINGH</t>
  </si>
  <si>
    <t>243 - A, PKT - I</t>
  </si>
  <si>
    <t>MAYUR VIHAR PHASE - I</t>
  </si>
  <si>
    <t>PATPARGANJDELHI</t>
  </si>
  <si>
    <t>PATERIYA SANGEETA INDRESH</t>
  </si>
  <si>
    <t>FLAT NO. 29, RAS VIHAR,</t>
  </si>
  <si>
    <t>PLOT NO. 99, I.P. EXTENSION,</t>
  </si>
  <si>
    <t>PATPARGANJ,</t>
  </si>
  <si>
    <t>SARJIT SINGH BEDI</t>
  </si>
  <si>
    <t>HOUSE NO 2596</t>
  </si>
  <si>
    <t>DUGRI ROAD</t>
  </si>
  <si>
    <t>PHASE- 1, URBAN ESTATELUDHIANA</t>
  </si>
  <si>
    <t>KISHORE KUMAR RANJAN</t>
  </si>
  <si>
    <t>680/1 RAJA GARDEN</t>
  </si>
  <si>
    <t>SECTOR 19</t>
  </si>
  <si>
    <t>FARIDABADHARYANA</t>
  </si>
  <si>
    <t>ASHOK KUMAR MODGIL</t>
  </si>
  <si>
    <t>HOUSE NO.1513</t>
  </si>
  <si>
    <t>SECTOR-28</t>
  </si>
  <si>
    <t>HARISH CHANDER VIG</t>
  </si>
  <si>
    <t>76B 28 JYOTI PARK</t>
  </si>
  <si>
    <t>BEHIND GEETA BHAVAN</t>
  </si>
  <si>
    <t>C</t>
  </si>
  <si>
    <t>PAWAN KUMAR SINGH</t>
  </si>
  <si>
    <t>887/22 6-J GANDHI NAGAR</t>
  </si>
  <si>
    <t>6-J - GANDHI NAGAR - GURGAON</t>
  </si>
  <si>
    <t>JUHI KUNZRU</t>
  </si>
  <si>
    <t>F 703 THE RESIDENCY ARDEE CITY</t>
  </si>
  <si>
    <t>SECTOR 52</t>
  </si>
  <si>
    <t>GURGAONHARYANA</t>
  </si>
  <si>
    <t>SAMEER M PATHAK</t>
  </si>
  <si>
    <t>W1 A55</t>
  </si>
  <si>
    <t>WELLINGTON ONE ESTATE DLF PHASE 5</t>
  </si>
  <si>
    <t>MONIKA YADAV</t>
  </si>
  <si>
    <t>KOSLI KOSLI</t>
  </si>
  <si>
    <t>KOSLI</t>
  </si>
  <si>
    <t>AJAY KHATRI</t>
  </si>
  <si>
    <t>165/22, VIKAS NAGAR</t>
  </si>
  <si>
    <t>HOUSE NO.- 314/18</t>
  </si>
  <si>
    <t>GALI NO.- 01</t>
  </si>
  <si>
    <t>Rohtak</t>
  </si>
  <si>
    <t>MULKH RAJ SIKKA</t>
  </si>
  <si>
    <t>69/16</t>
  </si>
  <si>
    <t>PARA MOHALLA</t>
  </si>
  <si>
    <t>ROHTAK(HARYANA)</t>
  </si>
  <si>
    <t>RAJ PAL DAHIYA</t>
  </si>
  <si>
    <t>H.NO 2102 29/2-3P</t>
  </si>
  <si>
    <t>SECTOR 2-3P</t>
  </si>
  <si>
    <t>NARINDER KUMAR</t>
  </si>
  <si>
    <t>H NO 132 WARD NO 17</t>
  </si>
  <si>
    <t>FRIENDS COLONY</t>
  </si>
  <si>
    <t>MANDI DABAWALI</t>
  </si>
  <si>
    <t>DABAWALI</t>
  </si>
  <si>
    <t>SHEILY KAMRA</t>
  </si>
  <si>
    <t>H.NO.51 PATEL NAGAR PATEL NAGAR</t>
  </si>
  <si>
    <t>NEAR CENTRAL PARK</t>
  </si>
  <si>
    <t>DINESH KUMAR</t>
  </si>
  <si>
    <t>S/O NIHAL SINGH BARSANA 89</t>
  </si>
  <si>
    <t>BHIWANI HARYANA 127026</t>
  </si>
  <si>
    <t>SUSAN GEORGE</t>
  </si>
  <si>
    <t>PERUMETHUMANNIL</t>
  </si>
  <si>
    <t>NELLICKAL</t>
  </si>
  <si>
    <t>KOIPURAM P O</t>
  </si>
  <si>
    <t>KOIPURAM</t>
  </si>
  <si>
    <t>PANKAJ BHARDWAJ</t>
  </si>
  <si>
    <t>VPO SHAHZADPUR</t>
  </si>
  <si>
    <t>TEH- NARAYANGARH</t>
  </si>
  <si>
    <t>DISTT AMBALA</t>
  </si>
  <si>
    <t>WIMMY CHANDNA</t>
  </si>
  <si>
    <t>H. NO - 579</t>
  </si>
  <si>
    <t>SECTOR - 7</t>
  </si>
  <si>
    <t>ISHWANTI .</t>
  </si>
  <si>
    <t>DL 185 WARD 12</t>
  </si>
  <si>
    <t>KRISHANA COLONY</t>
  </si>
  <si>
    <t>SAMALKHA</t>
  </si>
  <si>
    <t>HOUSE NO - 714/3</t>
  </si>
  <si>
    <t>CHAUDHARY MOHALLA</t>
  </si>
  <si>
    <t>TARAORIDIST - KARNAL</t>
  </si>
  <si>
    <t>VILLAGE MITHAPUR</t>
  </si>
  <si>
    <t>DISTT. AMBALA</t>
  </si>
  <si>
    <t>NR SUMLADY RD</t>
  </si>
  <si>
    <t>AMBALA CANTT</t>
  </si>
  <si>
    <t>KARAMJIT KAUR</t>
  </si>
  <si>
    <t>210 SECTOR D DEFENCE COLONY</t>
  </si>
  <si>
    <t>KALARHERI ROAD</t>
  </si>
  <si>
    <t>AMBALA HARYANA</t>
  </si>
  <si>
    <t>SHIVOM ARORA</t>
  </si>
  <si>
    <t>9626/6</t>
  </si>
  <si>
    <t>KOTWALI SARAI</t>
  </si>
  <si>
    <t>AMBALA CITY</t>
  </si>
  <si>
    <t>SUMITRA THAKUR</t>
  </si>
  <si>
    <t>B-70 KENDRIYA VIHAR</t>
  </si>
  <si>
    <t>NR POLICE STATION,SECTOR 14</t>
  </si>
  <si>
    <t>RAJ RANI</t>
  </si>
  <si>
    <t>NO 607</t>
  </si>
  <si>
    <t>HUNIYAN GALI JAGADHRI</t>
  </si>
  <si>
    <t>JAGADHRI</t>
  </si>
  <si>
    <t>KAITHAL</t>
  </si>
  <si>
    <t>PARVEEN</t>
  </si>
  <si>
    <t>H NO.483/9</t>
  </si>
  <si>
    <t>MOH. BADA KATHERA</t>
  </si>
  <si>
    <t>BALDEV SINGH KAPOOR</t>
  </si>
  <si>
    <t>H NO 2,SECTOR 1/A</t>
  </si>
  <si>
    <t>GURU GYAN VIHAR</t>
  </si>
  <si>
    <t>DUGRILUDHIANA</t>
  </si>
  <si>
    <t>PRABHAT RATAN PANDEY</t>
  </si>
  <si>
    <t>SIGNAL SECTION AIR FORCE STAT</t>
  </si>
  <si>
    <t>CEO COMPLEX HALWARA AD C O</t>
  </si>
  <si>
    <t>56 APO 9 WING</t>
  </si>
  <si>
    <t>HARMANJOT SINGH .</t>
  </si>
  <si>
    <t>H NO 114</t>
  </si>
  <si>
    <t>KATANI KALANI</t>
  </si>
  <si>
    <t>TEH-LUDHINA EAST</t>
  </si>
  <si>
    <t>LUDHINA</t>
  </si>
  <si>
    <t>RASHMI SHARMA</t>
  </si>
  <si>
    <t>H. NO 37</t>
  </si>
  <si>
    <t>ANAND AVENUE</t>
  </si>
  <si>
    <t>ABHA KAPAHI</t>
  </si>
  <si>
    <t>43D</t>
  </si>
  <si>
    <t>RANI KA BAGH</t>
  </si>
  <si>
    <t>AMRITSER</t>
  </si>
  <si>
    <t>WARYAM SINGH</t>
  </si>
  <si>
    <t>ST NO. 2</t>
  </si>
  <si>
    <t>KIRPA NAGARCHH. AMRITSAR</t>
  </si>
  <si>
    <t>GURDASPUR</t>
  </si>
  <si>
    <t>AVTAR SINGH</t>
  </si>
  <si>
    <t>VPO DAKOHA</t>
  </si>
  <si>
    <t>GHOMAN GURDASPUR</t>
  </si>
  <si>
    <t>PUNJABINDIA</t>
  </si>
  <si>
    <t>RAJBIR KAUR BAJWA</t>
  </si>
  <si>
    <t>180 VILL-AWAKHA TEH-GURDASPUR</t>
  </si>
  <si>
    <t>PARVEEN KUMAR DHIMAN</t>
  </si>
  <si>
    <t>W- NO-3 SHAHPURI GATE</t>
  </si>
  <si>
    <t>SUJANPUR</t>
  </si>
  <si>
    <t>PATHANKOTPATHANKOT</t>
  </si>
  <si>
    <t>JASKRIT SINGH .</t>
  </si>
  <si>
    <t>B-19/237D</t>
  </si>
  <si>
    <t>LILY COTAGE</t>
  </si>
  <si>
    <t>SUTHERI ROAD</t>
  </si>
  <si>
    <t>HOSHIAPUR</t>
  </si>
  <si>
    <t>DHANPAT RAI SAINI</t>
  </si>
  <si>
    <t>H. NO .320/2</t>
  </si>
  <si>
    <t>LAKSHMI KUTEER AJIT NAGAR</t>
  </si>
  <si>
    <t>ASLAMABAD</t>
  </si>
  <si>
    <t>SWARAN JIT KAUR</t>
  </si>
  <si>
    <t>H NO 6/13</t>
  </si>
  <si>
    <t>ANAND NAGAR B</t>
  </si>
  <si>
    <t>RAJIV KALRA</t>
  </si>
  <si>
    <t>H.NO. 899</t>
  </si>
  <si>
    <t>WARD NO. 3, ST. NO. 4</t>
  </si>
  <si>
    <t>MALOUT, MUKTSARPUNJAB</t>
  </si>
  <si>
    <t>NAVDEEP KUMAR RAHEJA</t>
  </si>
  <si>
    <t>MANDI LADUKA</t>
  </si>
  <si>
    <t>LADUKA FAZILKA</t>
  </si>
  <si>
    <t>RAJINDER SINGH BHUTANI</t>
  </si>
  <si>
    <t>H.No.-2931, Phase-7</t>
  </si>
  <si>
    <t>Mohali</t>
  </si>
  <si>
    <t>SHWETA .</t>
  </si>
  <si>
    <t>W O A K TIWARI SBI OFFICERS</t>
  </si>
  <si>
    <t>COMPLEX SEC 64 PHASE 10 MOHALI</t>
  </si>
  <si>
    <t>SAHIBZADA AJIT SINGH NAGAR</t>
  </si>
  <si>
    <t>AMIT SAINI</t>
  </si>
  <si>
    <t>FLAT NO 103 D D A APARTMENTS</t>
  </si>
  <si>
    <t>POCKET 5 MAYUR VIHAR PHASE 1</t>
  </si>
  <si>
    <t>SANJAY SONI .</t>
  </si>
  <si>
    <t>VILLAGE CHURAG POST OFFICE CH</t>
  </si>
  <si>
    <t>UKARSOG,MANDI,CHURAG</t>
  </si>
  <si>
    <t>KARSOG,MANDI,CHURAG</t>
  </si>
  <si>
    <t>CHURAG (242)</t>
  </si>
  <si>
    <t>ZEESHAN KHAN</t>
  </si>
  <si>
    <t>VILL SANGURI GAON</t>
  </si>
  <si>
    <t>DAK BANGLOW</t>
  </si>
  <si>
    <t>BHIMTALNAINITAL</t>
  </si>
  <si>
    <t>REENA KUMARI</t>
  </si>
  <si>
    <t>V.P.O. BARSAR</t>
  </si>
  <si>
    <t>TEH. BARSAR</t>
  </si>
  <si>
    <t>HAMIRPURHIMACHAL PARDESH</t>
  </si>
  <si>
    <t>MANDI</t>
  </si>
  <si>
    <t>HARISH KUMAR SHARMA</t>
  </si>
  <si>
    <t>#96-5 HOSPITAL ROAD</t>
  </si>
  <si>
    <t>DISTT MANDI</t>
  </si>
  <si>
    <t>VED PRAKASH</t>
  </si>
  <si>
    <t>S/O PURAN CHAND VILLAGE PANGA</t>
  </si>
  <si>
    <t>PO BIJHARI TEHSIL BARSAR PANGA</t>
  </si>
  <si>
    <t>JAMMU</t>
  </si>
  <si>
    <t>H NO 89 1 ANF NO 1</t>
  </si>
  <si>
    <t>PREET NAGAR JAMMU</t>
  </si>
  <si>
    <t>JAMMU AND KASHMIRINDIA</t>
  </si>
  <si>
    <t>SAMTA SHARMA</t>
  </si>
  <si>
    <t>205 A</t>
  </si>
  <si>
    <t>SHASTRI NAGAR</t>
  </si>
  <si>
    <t>H.NO.6/111,</t>
  </si>
  <si>
    <t>VIKAS NAGAR,</t>
  </si>
  <si>
    <t>POTOLI, JAMMU,JAMMU ADN KASHMIR</t>
  </si>
  <si>
    <t>KEWAL KRISHAN SHARMA</t>
  </si>
  <si>
    <t>VILL AGORE</t>
  </si>
  <si>
    <t>AKASH RAJPUT</t>
  </si>
  <si>
    <t>104 village mangail avtara teh akhnoor</t>
  </si>
  <si>
    <t>SRINAGAR</t>
  </si>
  <si>
    <t>MOHAMMAD HANIEF SHEIKH</t>
  </si>
  <si>
    <t>40 AIRPORT</t>
  </si>
  <si>
    <t>WAWOOSA SANT NAGAR</t>
  </si>
  <si>
    <t>SIR NAGAR</t>
  </si>
  <si>
    <t>Srinagar</t>
  </si>
  <si>
    <t>NASIR DRABU</t>
  </si>
  <si>
    <t>DRABU HOUSE OPP HOTEL ZUM ZUM</t>
  </si>
  <si>
    <t>RAMBAGH</t>
  </si>
  <si>
    <t>BARAMULLA</t>
  </si>
  <si>
    <t>ABDUL ROUF BHAT</t>
  </si>
  <si>
    <t>MOHALLA JADEED</t>
  </si>
  <si>
    <t>VANITA NANDA</t>
  </si>
  <si>
    <t>R-9/95, RAJ NAGAR</t>
  </si>
  <si>
    <t>MANISHA SINGHAL</t>
  </si>
  <si>
    <t>158, KANAHYAN LAL STREET</t>
  </si>
  <si>
    <t>DELHI GATE</t>
  </si>
  <si>
    <t>PRASHANT MOHAN</t>
  </si>
  <si>
    <t>D D-1 A,</t>
  </si>
  <si>
    <t>AVANTIKA CHIRANJEEV VIHAR</t>
  </si>
  <si>
    <t>KAVI NAGAR</t>
  </si>
  <si>
    <t>ABHINAV KUMAR JAIN</t>
  </si>
  <si>
    <t>KI-145, KAVI NAGAR</t>
  </si>
  <si>
    <t>SARVODAYA HOSPITAL</t>
  </si>
  <si>
    <t>MOHAN SINGH</t>
  </si>
  <si>
    <t>S/O SITA RAM 269/1</t>
  </si>
  <si>
    <t>GALI NO 1 BRIJ VIHAR COLONY</t>
  </si>
  <si>
    <t>MURAD NAGAR</t>
  </si>
  <si>
    <t>OM PRAKASH CHAWLA</t>
  </si>
  <si>
    <t>B 77 SECTOR 52 NEAR ARAVALI</t>
  </si>
  <si>
    <t>APARTMENT NOIDA</t>
  </si>
  <si>
    <t>KIRTI RAJ SINGH</t>
  </si>
  <si>
    <t>B 644 SAINIK COLONY</t>
  </si>
  <si>
    <t>SECTOR 49</t>
  </si>
  <si>
    <t>AMARJIT SINGH BUTALIA</t>
  </si>
  <si>
    <t>676, SECTOR - 29</t>
  </si>
  <si>
    <t>ARUN VIHAR</t>
  </si>
  <si>
    <t>SATISH KUMAR GROVER</t>
  </si>
  <si>
    <t>SECTOR 37</t>
  </si>
  <si>
    <t>ARUN VIHARNOIDA</t>
  </si>
  <si>
    <t>ASHWANI KUMAR</t>
  </si>
  <si>
    <t>2 / 27 , MOH. MARWARI BOHRAN</t>
  </si>
  <si>
    <t>THANA ROAD</t>
  </si>
  <si>
    <t>HARDUAGANJALIGARH</t>
  </si>
  <si>
    <t>141 DEVIPURA 1 BULANDSHAHR</t>
  </si>
  <si>
    <t>HATHRAS</t>
  </si>
  <si>
    <t>SHARAD JAIN</t>
  </si>
  <si>
    <t>162 DIBBA GALI KHATI</t>
  </si>
  <si>
    <t>KHANA HATHRAS</t>
  </si>
  <si>
    <t>MAINPURI</t>
  </si>
  <si>
    <t>SUNIT YADAV</t>
  </si>
  <si>
    <t>SO VINOD KUMAR YADAV 87</t>
  </si>
  <si>
    <t>NATRAJ HOTEL GALI MAINPURI</t>
  </si>
  <si>
    <t>MAINPURI UTTAR PRADESH</t>
  </si>
  <si>
    <t>GAURAV VASHISHTHA</t>
  </si>
  <si>
    <t>IN FRONT OF RAM DARBAR</t>
  </si>
  <si>
    <t>BISHUN DEVI</t>
  </si>
  <si>
    <t>20/144 PATKAPUR</t>
  </si>
  <si>
    <t>mohit gupta</t>
  </si>
  <si>
    <t>103/2</t>
  </si>
  <si>
    <t>bakarmandi</t>
  </si>
  <si>
    <t>bakarmandikanpur</t>
  </si>
  <si>
    <t>SUPTI SHOME</t>
  </si>
  <si>
    <t>226/1</t>
  </si>
  <si>
    <t>J K COLONY</t>
  </si>
  <si>
    <t>JAJMAU</t>
  </si>
  <si>
    <t>SUNITA PANDEY</t>
  </si>
  <si>
    <t>128/354 'H' BLOCK</t>
  </si>
  <si>
    <t>KIDWAI NAGAR</t>
  </si>
  <si>
    <t>GEETA GUPTA</t>
  </si>
  <si>
    <t>633 S BLOCK</t>
  </si>
  <si>
    <t>YASHODA NAGAR</t>
  </si>
  <si>
    <t>RAM KISHORE AGARWAL</t>
  </si>
  <si>
    <t>111/233</t>
  </si>
  <si>
    <t>HARSH NAGAR</t>
  </si>
  <si>
    <t>NEHA VISHWAKARMA</t>
  </si>
  <si>
    <t>C35 BARRA 8 BARRA</t>
  </si>
  <si>
    <t>RAM SEWAK SINGH</t>
  </si>
  <si>
    <t>ELECTRICITY DISTRIBUTION DIVISION</t>
  </si>
  <si>
    <t>UPPCL POWER HOUSE, NEAR RAILWAY</t>
  </si>
  <si>
    <t>CROSSING, BHOLEPUR, FATEHGARHFARRUKHABAD</t>
  </si>
  <si>
    <t>VIPIN KUMAR JAIN</t>
  </si>
  <si>
    <t>H NO 7 VINOD BHAWAN</t>
  </si>
  <si>
    <t>NARUPURA</t>
  </si>
  <si>
    <t>MAHOBA</t>
  </si>
  <si>
    <t>RAVINDRA VIKRAM SINGH</t>
  </si>
  <si>
    <t>CHHAJAMANAPURA</t>
  </si>
  <si>
    <t>MAHOBAUTTAR PRADESH</t>
  </si>
  <si>
    <t>GANDHI NAGAR</t>
  </si>
  <si>
    <t>MOHD ABDUL MOBIN SIDDIQUI</t>
  </si>
  <si>
    <t>LATE DR. ABDUL LATIF SIDDIQUI</t>
  </si>
  <si>
    <t>HIND CLINICAL LABORATRY</t>
  </si>
  <si>
    <t>C1/31-A SHEIKH SALIM GATE NAI SARAKVARANASI</t>
  </si>
  <si>
    <t>VIDYA RAMACHANDRA PAI</t>
  </si>
  <si>
    <t>C-2/54 TULSI KOWNYA</t>
  </si>
  <si>
    <t>KALI MAHAL</t>
  </si>
  <si>
    <t>PREM PRAKASH</t>
  </si>
  <si>
    <t>216 C D L W VNS</t>
  </si>
  <si>
    <t>SHEERAZ HASAN</t>
  </si>
  <si>
    <t>H NO 4/2/43 A NAUGHARA RATH HAVELI PS KOTWALI NAGAR</t>
  </si>
  <si>
    <t>GOVIND LAL GAUR</t>
  </si>
  <si>
    <t>PASCHIM TARAF</t>
  </si>
  <si>
    <t>JALALPUR AMBED</t>
  </si>
  <si>
    <t>KARNAGAR</t>
  </si>
  <si>
    <t>AMBEDKARNAGAR</t>
  </si>
  <si>
    <t>GAURAV RASTOGI</t>
  </si>
  <si>
    <t>450/110</t>
  </si>
  <si>
    <t>MUFTEEGANJ-2</t>
  </si>
  <si>
    <t>PAWAN KUMAR ANSHUMAN</t>
  </si>
  <si>
    <t>455 VINAY KHAND1</t>
  </si>
  <si>
    <t>GIMTINAGAR</t>
  </si>
  <si>
    <t>GONDA</t>
  </si>
  <si>
    <t>KRISHNA KUMAR JAISWAL</t>
  </si>
  <si>
    <t>9/59 BAHAR</t>
  </si>
  <si>
    <t>A SAHARA STATE</t>
  </si>
  <si>
    <t>ASHUTOSH AGARWAL</t>
  </si>
  <si>
    <t>531/116</t>
  </si>
  <si>
    <t>CHANDGANJ GARDEN ROAD</t>
  </si>
  <si>
    <t>RUDRA PRATAP SINGH</t>
  </si>
  <si>
    <t>MOHAN LAL GANJ</t>
  </si>
  <si>
    <t>LUCKNOW UTTAR PRADESH</t>
  </si>
  <si>
    <t>ASHISH TRIPATHI</t>
  </si>
  <si>
    <t>H. NO. 126 GA</t>
  </si>
  <si>
    <t>SHAHAJADE SAHAB KI KOTHI</t>
  </si>
  <si>
    <t>RAM BARAN .</t>
  </si>
  <si>
    <t>BRAHMAN KHERA PASHCHIM GOAN</t>
  </si>
  <si>
    <t>BACHHRAWAN RAEBARELI</t>
  </si>
  <si>
    <t>BARELI</t>
  </si>
  <si>
    <t>ASHOK RATAN KAUSHAMBI</t>
  </si>
  <si>
    <t>Q.NO.AE-96</t>
  </si>
  <si>
    <t>NTPC</t>
  </si>
  <si>
    <t>UNCHAHAR</t>
  </si>
  <si>
    <t>MIRZAPUR</t>
  </si>
  <si>
    <t>RAVI SHEKHAR PRADHAN</t>
  </si>
  <si>
    <t>RUKHARGHAT COLONY</t>
  </si>
  <si>
    <t>IMAMBARA</t>
  </si>
  <si>
    <t>SHOBHA DEVI</t>
  </si>
  <si>
    <t>MOHD SHAHID .</t>
  </si>
  <si>
    <t>GOSAI TALAB</t>
  </si>
  <si>
    <t>JIBANANANDA JENA</t>
  </si>
  <si>
    <t>B 4 H 1 TECH STAFF COLONY MURDHAWA</t>
  </si>
  <si>
    <t>RENUKOOT SONEBHADRA NEAR LAKSHMI</t>
  </si>
  <si>
    <t>NARAYAN TEMPLE RENUKOOTUTTAR PRADESH,INDIA</t>
  </si>
  <si>
    <t>SONBHADRA</t>
  </si>
  <si>
    <t>LALLAN GUPTA</t>
  </si>
  <si>
    <t>QT.NO-P 821</t>
  </si>
  <si>
    <t>RENUKOOT</t>
  </si>
  <si>
    <t>HINDALCODIST SONEBHADRA</t>
  </si>
  <si>
    <t>ISHRAWATI RAI</t>
  </si>
  <si>
    <t>B 257 NH 3</t>
  </si>
  <si>
    <t>RIHAND NAGAR</t>
  </si>
  <si>
    <t>BIJPUR</t>
  </si>
  <si>
    <t>RAJENDRA PRASAD YADAV</t>
  </si>
  <si>
    <t>Q NO-B-247</t>
  </si>
  <si>
    <t>NH-4,</t>
  </si>
  <si>
    <t>RIHAND NAGARSONEBHADRA</t>
  </si>
  <si>
    <t>SONEBHADRA</t>
  </si>
  <si>
    <t>SUNNY PALATHANATH JOSEPH</t>
  </si>
  <si>
    <t>B-428 NH5</t>
  </si>
  <si>
    <t>NTPC COLONY</t>
  </si>
  <si>
    <t>NEELAM ARORA</t>
  </si>
  <si>
    <t>B-39/40 EKTA NAGAR</t>
  </si>
  <si>
    <t>MIRCHIYATOLA</t>
  </si>
  <si>
    <t>VEER PAL SINGH</t>
  </si>
  <si>
    <t>20-B</t>
  </si>
  <si>
    <t>SECTOR -6 GREEN PARK EXTENTION</t>
  </si>
  <si>
    <t>ROHILKHAND UNIVERSITYBAREILLY</t>
  </si>
  <si>
    <t>CIVIL LINES</t>
  </si>
  <si>
    <t>KRISHNA MISHRA</t>
  </si>
  <si>
    <t>C/O PUNIT MISHRA</t>
  </si>
  <si>
    <t>BASANT BIHAR COLONY</t>
  </si>
  <si>
    <t>IZZATNAGAR UTTAR PRADESHBAREILLY</t>
  </si>
  <si>
    <t>VINEET KUMAR SAXENA</t>
  </si>
  <si>
    <t>ACHAL BHAWAN</t>
  </si>
  <si>
    <t>C B GANJ</t>
  </si>
  <si>
    <t>NARESH KUMAR MALIK</t>
  </si>
  <si>
    <t>H NO 8 BEHIND ARYA SAMAJ MANDIR</t>
  </si>
  <si>
    <t>GALI NO 1 DATTA TYPE WALI GALI</t>
  </si>
  <si>
    <t>RLY HATRHLA COLONYMORADABAD UP</t>
  </si>
  <si>
    <t>ZAKIR HUSAIN</t>
  </si>
  <si>
    <t>HAJI JUMMA KI TAAL,</t>
  </si>
  <si>
    <t>SARAI HUSAINI BEGUM,</t>
  </si>
  <si>
    <t>MORADABAD,UTTER PRADESH</t>
  </si>
  <si>
    <t>VIDDHOTMA .</t>
  </si>
  <si>
    <t>VILLAGE MANGLA MAAFI POST</t>
  </si>
  <si>
    <t>KHAD GUJAR TEHSIL DHANAURA</t>
  </si>
  <si>
    <t>GAJROLA</t>
  </si>
  <si>
    <t>JYOTIBA PHULE NAGAR</t>
  </si>
  <si>
    <t>SATISH KUMAR</t>
  </si>
  <si>
    <t>HOME 02, GRAM KUNDA</t>
  </si>
  <si>
    <t>POST KUNDA, KASHIPUR</t>
  </si>
  <si>
    <t>UDHAM SINGH NAGAR</t>
  </si>
  <si>
    <t>UTTARAKHAND</t>
  </si>
  <si>
    <t>anurag sharma</t>
  </si>
  <si>
    <t>kila street gange baba road kashipur</t>
  </si>
  <si>
    <t>u s nagar</t>
  </si>
  <si>
    <t>kashipur</t>
  </si>
  <si>
    <t>HARI SHANKAR KASHYAP</t>
  </si>
  <si>
    <t>S/O BALRAM KASHYAP</t>
  </si>
  <si>
    <t>754, TAGA SARAI</t>
  </si>
  <si>
    <t>VIKAS SINGH SIROHI</t>
  </si>
  <si>
    <t>A-251 YAUMA PURAM BASTI BULANDSHARHA</t>
  </si>
  <si>
    <t>VILL PALI DALI</t>
  </si>
  <si>
    <t>SUSHIL KUMAR GUPTA</t>
  </si>
  <si>
    <t>H.NO. 5</t>
  </si>
  <si>
    <t>GOVIND NAGAR</t>
  </si>
  <si>
    <t>KOTDWARA</t>
  </si>
  <si>
    <t>KAMLA RANI</t>
  </si>
  <si>
    <t>JOHNPUR PAGRI GARHWAL</t>
  </si>
  <si>
    <t>SURESH KUMAR SINGH</t>
  </si>
  <si>
    <t>TEACHER COLONEY</t>
  </si>
  <si>
    <t>KALAGARH ROAD</t>
  </si>
  <si>
    <t>Dhampur</t>
  </si>
  <si>
    <t>SAHARANPUR</t>
  </si>
  <si>
    <t>PEEYUSH JAIN</t>
  </si>
  <si>
    <t>CHANDER NI KUNJ</t>
  </si>
  <si>
    <t>NEAR CANARA BANK</t>
  </si>
  <si>
    <t>COURT ROAD SADAR THANA</t>
  </si>
  <si>
    <t>PARAG MITTAL</t>
  </si>
  <si>
    <t>BEHAT ROAD 74</t>
  </si>
  <si>
    <t>BHAGWATI COLONY</t>
  </si>
  <si>
    <t>DEVENDER KUMAR .</t>
  </si>
  <si>
    <t>V P O KUTUB PUR</t>
  </si>
  <si>
    <t>SHAHJAHANPUR</t>
  </si>
  <si>
    <t>RASHMI SAINI</t>
  </si>
  <si>
    <t>1168 HASANPUR LUHARI 2</t>
  </si>
  <si>
    <t>HASANPUR LUHARI TEHSIL SHAMALI</t>
  </si>
  <si>
    <t>W/O SANJAY KUMARMUZAFFARNAGAR UTTAR PRADESH</t>
  </si>
  <si>
    <t>SANJEEV KR NANGIA</t>
  </si>
  <si>
    <t>57/21</t>
  </si>
  <si>
    <t>RAJPUR ROAD</t>
  </si>
  <si>
    <t>NAKUL VERMA</t>
  </si>
  <si>
    <t>P L VERMA 206/1 GURUDWARA COLONY MAY</t>
  </si>
  <si>
    <t>A KUNJCLEMENTTOWN</t>
  </si>
  <si>
    <t>DEHRADUN UTTARAKHAND</t>
  </si>
  <si>
    <t>IRSHAD ALI .</t>
  </si>
  <si>
    <t>RESIDENCE-E.E-1</t>
  </si>
  <si>
    <t>TONS COLONY</t>
  </si>
  <si>
    <t>DAKPATHAR</t>
  </si>
  <si>
    <t>KUL BHUSHAN MONGA</t>
  </si>
  <si>
    <t>MANI RAM ROAD</t>
  </si>
  <si>
    <t>RISHIKESH</t>
  </si>
  <si>
    <t>HARIDWAR</t>
  </si>
  <si>
    <t>MAHENDRA KUMAR TANDON</t>
  </si>
  <si>
    <t>J-191,</t>
  </si>
  <si>
    <t>SHIVALIK NAGAR</t>
  </si>
  <si>
    <t>BHEL</t>
  </si>
  <si>
    <t>HARDWAR</t>
  </si>
  <si>
    <t>AMIT ATREYA</t>
  </si>
  <si>
    <t>H NO- 726</t>
  </si>
  <si>
    <t>AVAS VIKAS COLONY</t>
  </si>
  <si>
    <t>JWALAPUR</t>
  </si>
  <si>
    <t>PUNAM SINGH</t>
  </si>
  <si>
    <t>21,SOMDUTT VIHAR JAGRITI VIHAR</t>
  </si>
  <si>
    <t>GAURAV TYAGI</t>
  </si>
  <si>
    <t>E- 271</t>
  </si>
  <si>
    <t>MEERUTUTTAR PRADESH</t>
  </si>
  <si>
    <t>POOJA NAYYAR</t>
  </si>
  <si>
    <t>C 57</t>
  </si>
  <si>
    <t>RAMESHWER DAYAL GAUTAM</t>
  </si>
  <si>
    <t>B-202,</t>
  </si>
  <si>
    <t>PALLAVPURAM-I,</t>
  </si>
  <si>
    <t>MEERUT,U.P</t>
  </si>
  <si>
    <t>MEENA GARG</t>
  </si>
  <si>
    <t>157 SOUTH CIVIL LINE</t>
  </si>
  <si>
    <t>MUZAFFAR NAGAR</t>
  </si>
  <si>
    <t>PURSHOTAM DAS CHELLANI</t>
  </si>
  <si>
    <t>CHELLANI VATIKA</t>
  </si>
  <si>
    <t>OPPOSITE N E R STATION</t>
  </si>
  <si>
    <t>NULLSITAPUR UTTAR PRADESH</t>
  </si>
  <si>
    <t>FARHA KHATOON</t>
  </si>
  <si>
    <t>MOH 261</t>
  </si>
  <si>
    <t>PARKRIAYA NR GAUR</t>
  </si>
  <si>
    <t>DUAARAPILIBHIT</t>
  </si>
  <si>
    <t>NEHA AGARWAL</t>
  </si>
  <si>
    <t>GALI NO. 5</t>
  </si>
  <si>
    <t>RAMPURA ROAD</t>
  </si>
  <si>
    <t>HALDWANI</t>
  </si>
  <si>
    <t>DHIRAJ .</t>
  </si>
  <si>
    <t>S/O HARISH CHANDRA SINGH</t>
  </si>
  <si>
    <t>H NO 5/652 MALLA GORAKHPUR</t>
  </si>
  <si>
    <t>HALDWANI NAINITAL</t>
  </si>
  <si>
    <t>OMKAR GUPTA</t>
  </si>
  <si>
    <t>BALPUR BAZAR</t>
  </si>
  <si>
    <t>BASTI</t>
  </si>
  <si>
    <t>PARMA NAND MODI</t>
  </si>
  <si>
    <t>C O DAL CHAND PARMA NANAD</t>
  </si>
  <si>
    <t>PO GANDHI NAGAR</t>
  </si>
  <si>
    <t>SIDDHARTH KUMAR JAISWAL</t>
  </si>
  <si>
    <t>WARD NO-9</t>
  </si>
  <si>
    <t>MOH-GANDHI NAGAR</t>
  </si>
  <si>
    <t>TETARI BAZAR</t>
  </si>
  <si>
    <t>SIDHARTHNAGAR</t>
  </si>
  <si>
    <t>SHEELA RANI JAISWAL</t>
  </si>
  <si>
    <t>SAHABGANJ</t>
  </si>
  <si>
    <t>SOUTH PADRAUNA</t>
  </si>
  <si>
    <t>PADRAUNA</t>
  </si>
  <si>
    <t>AJAY PENGORIYA</t>
  </si>
  <si>
    <t>PREM NAGAR</t>
  </si>
  <si>
    <t>UKHARA ROAD</t>
  </si>
  <si>
    <t>LAXMI AGARWAL</t>
  </si>
  <si>
    <t>58/128 A</t>
  </si>
  <si>
    <t>AYODHYA KUNJ</t>
  </si>
  <si>
    <t>VIRENDRA KUMAR AGARWAL</t>
  </si>
  <si>
    <t>S/O BRAJ MOHAN AGARWAL</t>
  </si>
  <si>
    <t>108, JAIPUR HOUSE</t>
  </si>
  <si>
    <t>CIVIL LINE</t>
  </si>
  <si>
    <t>YADVENDRA SINGH</t>
  </si>
  <si>
    <t>H NO 7/45 D JAWAHAR NAGAR</t>
  </si>
  <si>
    <t>KHANDARIAGRA</t>
  </si>
  <si>
    <t>PRAMILA SETH</t>
  </si>
  <si>
    <t>S E 39</t>
  </si>
  <si>
    <t>SWAMI BAGH</t>
  </si>
  <si>
    <t>KISHOR KUMAR GUPTA</t>
  </si>
  <si>
    <t>NEAR BIHARIJI TEMPLE</t>
  </si>
  <si>
    <t>VAISHY GALI</t>
  </si>
  <si>
    <t>KHERAGARH</t>
  </si>
  <si>
    <t>CHANDRA LEKHA</t>
  </si>
  <si>
    <t>836 BANK COLONY</t>
  </si>
  <si>
    <t>DARIYA PURA</t>
  </si>
  <si>
    <t>GALLA MANDI ROADJHANSI UTTAR PRADESH INDIA</t>
  </si>
  <si>
    <t>PADMA TANDAN</t>
  </si>
  <si>
    <t>68, TAKSAL</t>
  </si>
  <si>
    <t>SORABH KUMAR JAIN</t>
  </si>
  <si>
    <t>48-Chhatrasal Pura</t>
  </si>
  <si>
    <t>Lalitpur</t>
  </si>
  <si>
    <t>BEHIND NAGAR PARISHAD,</t>
  </si>
  <si>
    <t>AHIRO KA MANDIR KE SAMNE,</t>
  </si>
  <si>
    <t>ALWAR,RAJASTHAN</t>
  </si>
  <si>
    <t>RAKESH KUMAR BHARGAVA</t>
  </si>
  <si>
    <t>TIWARI KA KUWA</t>
  </si>
  <si>
    <t>MANOJ KUMAR VERMA</t>
  </si>
  <si>
    <t>no.75</t>
  </si>
  <si>
    <t>NEB</t>
  </si>
  <si>
    <t>BANSUR,ALWAR,ALWAR,SUBHASH NAG</t>
  </si>
  <si>
    <t>MANISH DUGGAL</t>
  </si>
  <si>
    <t>304/6 VALMIKI MARG</t>
  </si>
  <si>
    <t>DILIP GANGWAL</t>
  </si>
  <si>
    <t>B-138</t>
  </si>
  <si>
    <t>VIJAY PATH</t>
  </si>
  <si>
    <t>TILAK NAGARJAIPUR</t>
  </si>
  <si>
    <t>SUNIL P KESWANI</t>
  </si>
  <si>
    <t>C-100</t>
  </si>
  <si>
    <t>SHIVAJI MARG</t>
  </si>
  <si>
    <t>TILAK NAGAR</t>
  </si>
  <si>
    <t>SITA KUMARI MAHAWAR</t>
  </si>
  <si>
    <t>WO NETRAM MAHAVAR 1439</t>
  </si>
  <si>
    <t>MANOHAR PURA KACHCHI BASTI</t>
  </si>
  <si>
    <t>JAGATPURA JAIPUR</t>
  </si>
  <si>
    <t>SANGEETA JAIN</t>
  </si>
  <si>
    <t>60 KESHAV VIHAR</t>
  </si>
  <si>
    <t>GOPALPURA BYE PASS</t>
  </si>
  <si>
    <t>OPP PARAMHANS DHAM JAIPUR DURG</t>
  </si>
  <si>
    <t>CHARU CHOPRA</t>
  </si>
  <si>
    <t>55/208</t>
  </si>
  <si>
    <t>RAJAT PATH</t>
  </si>
  <si>
    <t>MANSAROVAR</t>
  </si>
  <si>
    <t>MOHINI DEVI KHATWANI</t>
  </si>
  <si>
    <t>HOUSE NO 1325 WARD NO3</t>
  </si>
  <si>
    <t>LOODHA MOHALLA</t>
  </si>
  <si>
    <t>NASIRABADAJMER</t>
  </si>
  <si>
    <t>SHEELA KHANDELWAL</t>
  </si>
  <si>
    <t>IN FRONT SWASTIK MOTOR COMPENY</t>
  </si>
  <si>
    <t>SHRINAGAR ROAD</t>
  </si>
  <si>
    <t>VIJAY KUMAR SODANI</t>
  </si>
  <si>
    <t>C 218</t>
  </si>
  <si>
    <t>MATAJI MARG</t>
  </si>
  <si>
    <t>SANJAY COLONYBHILWARA</t>
  </si>
  <si>
    <t>SASHI KUMAR TONGIA</t>
  </si>
  <si>
    <t>3-G 15 R.C VYAS COLONY</t>
  </si>
  <si>
    <t>G D 24</t>
  </si>
  <si>
    <t>NEW BAPU NAGAR</t>
  </si>
  <si>
    <t>RAJAT SUNIA</t>
  </si>
  <si>
    <t>11 3 GOVT QUATERS,</t>
  </si>
  <si>
    <t>MADHUBAN 2,</t>
  </si>
  <si>
    <t>PRAHALAD KALYANI</t>
  </si>
  <si>
    <t>274,</t>
  </si>
  <si>
    <t>AMBAMATA SCHEME</t>
  </si>
  <si>
    <t>RAJENDRA KUMAR JAIN</t>
  </si>
  <si>
    <t>178 DABOK THANE SE DABOK GAON</t>
  </si>
  <si>
    <t>TAK DABOK TH MAVLI</t>
  </si>
  <si>
    <t>DIST UDAIPUR</t>
  </si>
  <si>
    <t>BHANWARLAL JAIN</t>
  </si>
  <si>
    <t>R/O PADWA</t>
  </si>
  <si>
    <t>TEH.SAGWARA</t>
  </si>
  <si>
    <t>DIST.DUNGARPUR</t>
  </si>
  <si>
    <t>PADWA</t>
  </si>
  <si>
    <t>PYARCHAND JAIN</t>
  </si>
  <si>
    <t>S/O DHANRAJ JAIN</t>
  </si>
  <si>
    <t>AT POST PADWA</t>
  </si>
  <si>
    <t>TH. SAGWARA, DISTT. DUNGARPUR</t>
  </si>
  <si>
    <t>GOVIND PRASAD</t>
  </si>
  <si>
    <t>MANGAL SADAN</t>
  </si>
  <si>
    <t>MADHAV NAGAR, UDAI MODE</t>
  </si>
  <si>
    <t>GANGAPUR CITY</t>
  </si>
  <si>
    <t>DIST. SAWAI MADHOPUR</t>
  </si>
  <si>
    <t>BUNDI</t>
  </si>
  <si>
    <t>MANJU JAIN</t>
  </si>
  <si>
    <t>H NO. 3-G-7</t>
  </si>
  <si>
    <t>VIKAS NAGAR</t>
  </si>
  <si>
    <t>BHAVIKA AGRAWAL</t>
  </si>
  <si>
    <t>TYPE--4/50-A</t>
  </si>
  <si>
    <t>ANUTARA COLONY</t>
  </si>
  <si>
    <t>DHURJATI SEN</t>
  </si>
  <si>
    <t>SEN BUILDING</t>
  </si>
  <si>
    <t>382, PROFESSORS COLONY</t>
  </si>
  <si>
    <t>NAYAPURA</t>
  </si>
  <si>
    <t>CHETAN KUMAR JAIN</t>
  </si>
  <si>
    <t>H NO 1 A 25 RHB</t>
  </si>
  <si>
    <t>TALWANDI</t>
  </si>
  <si>
    <t>DURGESH SHAH</t>
  </si>
  <si>
    <t>SHASTRI COLONY</t>
  </si>
  <si>
    <t>RATI TALAI</t>
  </si>
  <si>
    <t>MUKESH KUMAR JOSHI</t>
  </si>
  <si>
    <t>C/O RAMAWATAR JOSHI</t>
  </si>
  <si>
    <t>GORISARIYON KI DHANI</t>
  </si>
  <si>
    <t>W NO 17 RATANGARH</t>
  </si>
  <si>
    <t>VANDANA JAIN</t>
  </si>
  <si>
    <t>R/O NEAR ADARSH</t>
  </si>
  <si>
    <t>BALIKA VIDHA MANDIR</t>
  </si>
  <si>
    <t>TILAK NAGAR, SIKARRAJASTHAN</t>
  </si>
  <si>
    <t>RAMKUMAR CHAUDHARY</t>
  </si>
  <si>
    <t>1084 WARD N 41</t>
  </si>
  <si>
    <t>CHAUDHARY CHARAN SINGH NAGAR</t>
  </si>
  <si>
    <t>NAWALGARGH RDSIKAR, RAJASTHAN</t>
  </si>
  <si>
    <t>MANOJ KUMAR GOENKA</t>
  </si>
  <si>
    <t>W.NO.-17,</t>
  </si>
  <si>
    <t>DEORA KA MOHALLA</t>
  </si>
  <si>
    <t>FATEHPUR</t>
  </si>
  <si>
    <t>YOGESH KUMAR SAINI</t>
  </si>
  <si>
    <t>VILL ADARSHNAGAR PO BAGAR</t>
  </si>
  <si>
    <t>JHUJHUNU 008</t>
  </si>
  <si>
    <t>RAMESH CHAND SHARMA</t>
  </si>
  <si>
    <t>LOTIYA LOTIA</t>
  </si>
  <si>
    <t>JHUNJHUNUN</t>
  </si>
  <si>
    <t>ABHISHEK YADAV</t>
  </si>
  <si>
    <t>IC 63931 Y SP COY</t>
  </si>
  <si>
    <t>5 DOGRA C / O 56 APO</t>
  </si>
  <si>
    <t>BIKANERRAJASTHAN</t>
  </si>
  <si>
    <t>KIRAN JAIN</t>
  </si>
  <si>
    <t>1 D 132 JNV COLONY</t>
  </si>
  <si>
    <t>NAVNEET PANDEY</t>
  </si>
  <si>
    <t>PRATIKSHA</t>
  </si>
  <si>
    <t>2-D-2 PATEL NAGAR</t>
  </si>
  <si>
    <t>RANJANA SURANA</t>
  </si>
  <si>
    <t>SURANA MOHALLA</t>
  </si>
  <si>
    <t>DARJION KI GUWAR</t>
  </si>
  <si>
    <t>MANDI BLOCK</t>
  </si>
  <si>
    <t>SRI KARANPUR</t>
  </si>
  <si>
    <t>MANISH KUMAR AGGARWAL</t>
  </si>
  <si>
    <t>SAVE &amp; SAFE CONSULTANTS</t>
  </si>
  <si>
    <t>OPP. BANK OF RAJ. NAI MANDI,</t>
  </si>
  <si>
    <t>HANUMANGARH TOWN</t>
  </si>
  <si>
    <t>23 SHEKHAWAT BHAWAN MAN MAHAL COLONY</t>
  </si>
  <si>
    <t>RATANADA AIR FORCE</t>
  </si>
  <si>
    <t>JODHPURRAJASTHAN</t>
  </si>
  <si>
    <t>BRAJENDRA BHANDARI</t>
  </si>
  <si>
    <t>440 B 3RD C ROAD</t>
  </si>
  <si>
    <t>SARDARPURA</t>
  </si>
  <si>
    <t>PRATEEK SHARMA</t>
  </si>
  <si>
    <t>, out side 3rd pole, mahamandir out side 3rd pole, mah</t>
  </si>
  <si>
    <t>53, shiv shakti nagar, 4th street</t>
  </si>
  <si>
    <t>DURGA SOLANKI</t>
  </si>
  <si>
    <t>OUTSIDE</t>
  </si>
  <si>
    <t>HEMSINGH KA KATALA</t>
  </si>
  <si>
    <t>MAHAMANDIR,MEGHWAL BASTI</t>
  </si>
  <si>
    <t>RAM PRAKASH SANGWA</t>
  </si>
  <si>
    <t>SANGWD KI DHANI</t>
  </si>
  <si>
    <t>MERTA CITY</t>
  </si>
  <si>
    <t>NAGOUR</t>
  </si>
  <si>
    <t>PRAVIN KUMAR</t>
  </si>
  <si>
    <t>S/O JHAMAN DAS RATHI</t>
  </si>
  <si>
    <t>H. NO 141 BARIYON KA VAS</t>
  </si>
  <si>
    <t>BARMERBARMER</t>
  </si>
  <si>
    <t>JILUBHA HARISHCHANDRASINHJI JADEJA</t>
  </si>
  <si>
    <t>NILKANTH PARK</t>
  </si>
  <si>
    <t>BLOCK NO-M/22</t>
  </si>
  <si>
    <t>MRS. DINA MUKESHKUMAR MEHTA</t>
  </si>
  <si>
    <t>SHARAD APARTMENT,</t>
  </si>
  <si>
    <t>BLOCK NO. 12, THIRD FLOOR,</t>
  </si>
  <si>
    <t>1, SARDARNAGAR (WEST),RAJKOT.</t>
  </si>
  <si>
    <t>NAGJIBHAI NARANBHAI BAGADA</t>
  </si>
  <si>
    <t>NANA MAVA ROAD</t>
  </si>
  <si>
    <t>ARVIND BALKRISHNA RAYTHATHA</t>
  </si>
  <si>
    <t>AMIBHAV BLOCK NO.3,NAGRIK BANK</t>
  </si>
  <si>
    <t>SOC.,STREET NO.1,NR.NIRMALA</t>
  </si>
  <si>
    <t>CONVENT SCHHOL</t>
  </si>
  <si>
    <t>RASIKLAL GORDHANBHAI KANERIA</t>
  </si>
  <si>
    <t>C-902, SHYMAL VERTICAS,</t>
  </si>
  <si>
    <t>OPP. ALAP GREEN CITY, UNIVERSITY RD.</t>
  </si>
  <si>
    <t>SADHU VASWANI ROAD,RAJKOT</t>
  </si>
  <si>
    <t>CHAUHAN DHARMESH P</t>
  </si>
  <si>
    <t>PRATAPBHAI CHAUHAN, NEAR GOKUL PAN S</t>
  </si>
  <si>
    <t>TREET, MODISCHOOL, 150 FEET RING ROA</t>
  </si>
  <si>
    <t>D, RAJKOT, RAJKOT RAIYAROAD, GUJARATRAJKOT GUJARAT</t>
  </si>
  <si>
    <t>KRISHNA MOORTHY</t>
  </si>
  <si>
    <t>981 AD REGT WKSP</t>
  </si>
  <si>
    <t>C/O 56 APO</t>
  </si>
  <si>
    <t>31 INF LINES 906981</t>
  </si>
  <si>
    <t>NIRMALABEN DOBARIYA D</t>
  </si>
  <si>
    <t>C/O THUMAR CHANDRESH B</t>
  </si>
  <si>
    <t>RAMVADI STREET NO-2</t>
  </si>
  <si>
    <t>NR RANDALS TEMPLEJAMNAGAR</t>
  </si>
  <si>
    <t>BHARAT RANCHODBHAI DODIYA</t>
  </si>
  <si>
    <t>ROOM NO. 13,</t>
  </si>
  <si>
    <t>HOUSING BOARD,</t>
  </si>
  <si>
    <t>BEDESHWAR, NR. RAM TEMPLE,JAMNAGAR</t>
  </si>
  <si>
    <t>PANDYA YAGNESH</t>
  </si>
  <si>
    <t>TANMAY, PATEL COLONY,</t>
  </si>
  <si>
    <t>STREET NO. 3-A,</t>
  </si>
  <si>
    <t>B/H. ST. ANNS SCHOOL,JAMNAGAR</t>
  </si>
  <si>
    <t>KALABEN R SAVALIA</t>
  </si>
  <si>
    <t>18 SHRIDHAR NAGAR</t>
  </si>
  <si>
    <t>B/H LALBAG</t>
  </si>
  <si>
    <t>DWARKAPURI ROADJUNAGADH GUJARAT</t>
  </si>
  <si>
    <t>SAVAJIBHAI NANAJIBHAI PAMBHAR</t>
  </si>
  <si>
    <t>SARDAR NAGAR SOCIETY</t>
  </si>
  <si>
    <t>TALALA-GIR</t>
  </si>
  <si>
    <t>SATISH KIRITKUMAR DAVE</t>
  </si>
  <si>
    <t>32/B</t>
  </si>
  <si>
    <t>DEVRAJ NAGAR</t>
  </si>
  <si>
    <t>PARMAR GOVINDBHAI A.</t>
  </si>
  <si>
    <t>PLOT NO.13,</t>
  </si>
  <si>
    <t>MURALIDHAR SOCIETY,</t>
  </si>
  <si>
    <t>GOWSHALA, GOGHA ROAD,BHAVNAGAR.</t>
  </si>
  <si>
    <t>SONAL JATILRAY VYAS</t>
  </si>
  <si>
    <t>FLAT NO 106 ARHAM</t>
  </si>
  <si>
    <t>BEHIND ICICI BANK</t>
  </si>
  <si>
    <t>ATABHAI ROADBHAVNAGAR GUJARAT</t>
  </si>
  <si>
    <t>RAGHAVBHAI L VIRDIYA</t>
  </si>
  <si>
    <t>SHAMPARA VIA VARTEJ</t>
  </si>
  <si>
    <t>SAVJIBHAI G GHELANI</t>
  </si>
  <si>
    <t>PLOT NO-54,SHIVAM NAGAR</t>
  </si>
  <si>
    <t>RTO ROAD</t>
  </si>
  <si>
    <t>JANAKBHAI PATEL</t>
  </si>
  <si>
    <t>35 36 BANK COLONY</t>
  </si>
  <si>
    <t>BORTALAV ROAD</t>
  </si>
  <si>
    <t>NULLBHAVNAGAR GUJARAT</t>
  </si>
  <si>
    <t>PARESHKUMAR HIMMATLAL RATHOD</t>
  </si>
  <si>
    <t>JANKALYAN SOCIETY</t>
  </si>
  <si>
    <t>NEAR S T DEPO</t>
  </si>
  <si>
    <t>BEHIND VADODARIYA HOSPITALBOTAD GUJARAT INDIA</t>
  </si>
  <si>
    <t>SANJAYKUMAR SHASHIKANT GANDHI</t>
  </si>
  <si>
    <t>GOKUL NAGAR B NR GEB SUB STATI</t>
  </si>
  <si>
    <t>NR G E B SUB STATION NR JAFRAB</t>
  </si>
  <si>
    <t>RAJULA</t>
  </si>
  <si>
    <t>PUJARA TRUPTI PIYUSH</t>
  </si>
  <si>
    <t>PLOT NO. 41</t>
  </si>
  <si>
    <t>RAMMAGAR</t>
  </si>
  <si>
    <t>ANJAR</t>
  </si>
  <si>
    <t>DAXESH B JOBANPUTRA</t>
  </si>
  <si>
    <t>TBX 27 ADIPUR</t>
  </si>
  <si>
    <t>GANDHIDAM</t>
  </si>
  <si>
    <t>ADIPUR</t>
  </si>
  <si>
    <t>SMITA RATHOD</t>
  </si>
  <si>
    <t>SHANTI KRUPA,</t>
  </si>
  <si>
    <t>HOUSE NO. 423, NR. WATER TANK,</t>
  </si>
  <si>
    <t>DC-5,ADIPUR-KUTCH.</t>
  </si>
  <si>
    <t>PRITESH PUKHRAJ PARMAR</t>
  </si>
  <si>
    <t>B-10, NAKODA PARK</t>
  </si>
  <si>
    <t>NR RACHNA SCHOOL</t>
  </si>
  <si>
    <t>SHAHIBAUGAHMEDABAD</t>
  </si>
  <si>
    <t>JYOTI SATISHKUMAR GUPTA</t>
  </si>
  <si>
    <t>A/602, SWAMINARAYAN AVENUE</t>
  </si>
  <si>
    <t>ANJLAI CHAR RASTA</t>
  </si>
  <si>
    <t>PALDIAHMEDABAD</t>
  </si>
  <si>
    <t>FARJANA A. RAZZAK GADHAWALA</t>
  </si>
  <si>
    <t>NR. ALKAPURI CHARRASTA</t>
  </si>
  <si>
    <t>POLOGROUND</t>
  </si>
  <si>
    <t>HIMATNAGAR</t>
  </si>
  <si>
    <t>DHIRUBHAI L. BAJAJ</t>
  </si>
  <si>
    <t>12, SHYAM ROW HOUSES-2,</t>
  </si>
  <si>
    <t>SATELLITE ROAD,</t>
  </si>
  <si>
    <t>NR. 132FT RING ROAD,AHMEDABAD.</t>
  </si>
  <si>
    <t>RAMESHBHAI PUROHIT</t>
  </si>
  <si>
    <t>42 ARIHANTNAGAR SOC</t>
  </si>
  <si>
    <t>D-CABIN</t>
  </si>
  <si>
    <t>SABARMATI AHMEDABAD</t>
  </si>
  <si>
    <t>PRAKASHAN VELUNNY MADATHIPARAMBIL</t>
  </si>
  <si>
    <t>M V PRAKASHAN</t>
  </si>
  <si>
    <t>1318 HIG</t>
  </si>
  <si>
    <t>SECTOR 27</t>
  </si>
  <si>
    <t>POTTEKATE KARTHIKEYA MENON</t>
  </si>
  <si>
    <t>QTR NO:465/3,</t>
  </si>
  <si>
    <t>G/H TYPE SECTOR-29,</t>
  </si>
  <si>
    <t>KULDIPKUMAR VINAYCHANDRA DAVE</t>
  </si>
  <si>
    <t>67MANIPUR ALIGANS MANIPURTA</t>
  </si>
  <si>
    <t>SANAND DIST AHMEDABAD</t>
  </si>
  <si>
    <t>PATEL VISHNUBHAI GOVINDBHAI</t>
  </si>
  <si>
    <t>NANI KHADKI</t>
  </si>
  <si>
    <t>SAIJPUR BOGHA</t>
  </si>
  <si>
    <t>NARODA ROADAHMEDABAD</t>
  </si>
  <si>
    <t>SHAILESH DHANJIBHAI VAGHASIYA</t>
  </si>
  <si>
    <t>C/110,, Thakkar Bappanagar, Vikram Aditya Society,</t>
  </si>
  <si>
    <t>Thakkar Bappanagar, Vikram Park, Thakkar Bappanagar,</t>
  </si>
  <si>
    <t>GANESHBHAI JUGALBHAI PATEL</t>
  </si>
  <si>
    <t>B/2,TRIDEV PARK SOC,</t>
  </si>
  <si>
    <t>NR.TRILOK PARK</t>
  </si>
  <si>
    <t>SABARKANTHA</t>
  </si>
  <si>
    <t>BHARATKUMAR T THAKKAR</t>
  </si>
  <si>
    <t>OPP. RAMAJI MANDIR,</t>
  </si>
  <si>
    <t>MAHETAPURA,</t>
  </si>
  <si>
    <t>CHHAYABEN C PRAJAPATI</t>
  </si>
  <si>
    <t>66 KARNAVATI SOC</t>
  </si>
  <si>
    <t>SAHAKARI JIN ROAD</t>
  </si>
  <si>
    <t>PARESHKUMAR T DABGAR</t>
  </si>
  <si>
    <t>15/A CHANDRA COLONY</t>
  </si>
  <si>
    <t>B/H MALGODOWN</t>
  </si>
  <si>
    <t>MEHSANAGUJARAT</t>
  </si>
  <si>
    <t>PATAN</t>
  </si>
  <si>
    <t>PRAVIN KHENGARBHAI RATHOD</t>
  </si>
  <si>
    <t>10 INDIRA NAGAR</t>
  </si>
  <si>
    <t>AT-POST-ANUVADA</t>
  </si>
  <si>
    <t>DIST-PATAN</t>
  </si>
  <si>
    <t>CHOKHAWALA ANKITA SANJAYBHAI</t>
  </si>
  <si>
    <t>SANGHAVI NI POLE</t>
  </si>
  <si>
    <t>PINDARIYAWADA ROAD</t>
  </si>
  <si>
    <t>PATEL MAHENDRAKUMAR MANILAL</t>
  </si>
  <si>
    <t>VISNAGARVISNAGAR</t>
  </si>
  <si>
    <t>ASHOKKUMAR KARSANDAS PATEL</t>
  </si>
  <si>
    <t>GRENPARK SOCIETY</t>
  </si>
  <si>
    <t>KANDALA HIGHWAY</t>
  </si>
  <si>
    <t>RADHANPUR DIST PATAN</t>
  </si>
  <si>
    <t>RADHANPUR</t>
  </si>
  <si>
    <t>NILESHKUMAR DANUBHAI PRAJAPATI</t>
  </si>
  <si>
    <t>32 K AT-POST MADANA GADH</t>
  </si>
  <si>
    <t>TA PALANPUR DIST B K</t>
  </si>
  <si>
    <t>PALANPUR</t>
  </si>
  <si>
    <t>VIJAY G. PATEL</t>
  </si>
  <si>
    <t>A - 17, SARDARPARK</t>
  </si>
  <si>
    <t>NADIAD.</t>
  </si>
  <si>
    <t>MADHUSUDHAN PANACHAND PATEL</t>
  </si>
  <si>
    <t>E15, SARDAR NAGAR,</t>
  </si>
  <si>
    <t>NR. RAILWAY CROSSING,</t>
  </si>
  <si>
    <t>SUMANBHAI BABUBHAI PANCHAL</t>
  </si>
  <si>
    <t>28 SHRADDHANAGAR</t>
  </si>
  <si>
    <t>NR KAILASDHAM SOCIETY</t>
  </si>
  <si>
    <t>VAISHALI ROADNADIAD</t>
  </si>
  <si>
    <t>NARANBHAI P PARAJAPATI</t>
  </si>
  <si>
    <t>BALKRISHNA SOCIETY,</t>
  </si>
  <si>
    <t>NEAR AMBICA SOCIETY CHOWK,</t>
  </si>
  <si>
    <t>NR. CHIKOD TALAVDI,</t>
  </si>
  <si>
    <t>B/H NEW BUS STAND, ANAND</t>
  </si>
  <si>
    <t>KINNARI PATEL</t>
  </si>
  <si>
    <t>NR PIONEER SCHOOL</t>
  </si>
  <si>
    <t>PATEL COLONY</t>
  </si>
  <si>
    <t>NIKULBHAI SURENDRABHAI PATEL</t>
  </si>
  <si>
    <t>SHIV SHAKTI SOCIETY</t>
  </si>
  <si>
    <t>NEAR GOVERNMENT HOSPITAL</t>
  </si>
  <si>
    <t>THAMNA</t>
  </si>
  <si>
    <t>MAHERUNNISHA SHAIKH</t>
  </si>
  <si>
    <t>5-597, SUTHARVALA MANJIL</t>
  </si>
  <si>
    <t>PURA MOHALLA</t>
  </si>
  <si>
    <t>BALASINORDIST. KHEDA</t>
  </si>
  <si>
    <t>SANJAYKUMAR RAVINDRABHAI PATEL</t>
  </si>
  <si>
    <t>53,GHANSHYAM NAGAR</t>
  </si>
  <si>
    <t>NAVLI</t>
  </si>
  <si>
    <t>MOTILAL LEKHRAJ MAHESHWARI</t>
  </si>
  <si>
    <t>AT- KATHANA,</t>
  </si>
  <si>
    <t>TA - BORSAD,</t>
  </si>
  <si>
    <t>DASHARATHSINH PRATAPSINH VALA</t>
  </si>
  <si>
    <t>NEW POLICE LINE</t>
  </si>
  <si>
    <t>NR RAILWAY CROSSING</t>
  </si>
  <si>
    <t>KHAMBHAT ANAND</t>
  </si>
  <si>
    <t>KHAMBHAT</t>
  </si>
  <si>
    <t>ALKA PRAKASH SHIRALKAR</t>
  </si>
  <si>
    <t>54/A, PRABHAKUNJ SOCIETY</t>
  </si>
  <si>
    <t>NEAR CHANDNI CHOWKGODHRA</t>
  </si>
  <si>
    <t>PATEL ASHVINKUMAR</t>
  </si>
  <si>
    <t>AT/PO. VARDHARI</t>
  </si>
  <si>
    <t>TAL. LUNAWADA</t>
  </si>
  <si>
    <t>DIST. PANCHMAHAL</t>
  </si>
  <si>
    <t>JETHABHAI PUNJABHAI PARMAR</t>
  </si>
  <si>
    <t>SALIYA MUVADI</t>
  </si>
  <si>
    <t>PANCHMAHALS</t>
  </si>
  <si>
    <t>DIWADA COLONYPANCHMAHALS</t>
  </si>
  <si>
    <t>DHANUSHA M. TAMBE</t>
  </si>
  <si>
    <t>C 402 TRIVENI RESIDENCY</t>
  </si>
  <si>
    <t>R V DESAI ROAD</t>
  </si>
  <si>
    <t>NEAR SRP GROUP GATE NO 1</t>
  </si>
  <si>
    <t>MUTHULAKSHMI LAKSHMIKANATHAN</t>
  </si>
  <si>
    <t>301 ARYAN 37 PRATAPGUNJ</t>
  </si>
  <si>
    <t>SHAILESHBHAI BHAILALBHAI DESAI</t>
  </si>
  <si>
    <t>572, VRUNDAVAN SOCIETY</t>
  </si>
  <si>
    <t>NR. SATYAM APARTMENT</t>
  </si>
  <si>
    <t>NR. JALARAM DAIRY GORWABARODA</t>
  </si>
  <si>
    <t>HARISH KHUBCHANDANI</t>
  </si>
  <si>
    <t>201 RUTURAJ APT</t>
  </si>
  <si>
    <t>VASNA ROAD</t>
  </si>
  <si>
    <t>VADODARAVADODARA</t>
  </si>
  <si>
    <t>VK RAJESH BABU</t>
  </si>
  <si>
    <t>SMQ NO 145 5 AIRFORCE STATION</t>
  </si>
  <si>
    <t>DARJIPURA HARNI</t>
  </si>
  <si>
    <t>VADODARAGUJARAT</t>
  </si>
  <si>
    <t>BIJAL JAYANT MANIAR</t>
  </si>
  <si>
    <t>55/A, SHRENIK PARK</t>
  </si>
  <si>
    <t>AKOTAVADODARA</t>
  </si>
  <si>
    <t>PRAVINA PATEL</t>
  </si>
  <si>
    <t>A/15, VINAYAK BUNGLOW</t>
  </si>
  <si>
    <t>SHAH DAMINIBEN KETANKUMAR</t>
  </si>
  <si>
    <t>24 , SHRADHA NAGAR</t>
  </si>
  <si>
    <t>NR. AYYAPPA TEMPLE</t>
  </si>
  <si>
    <t>GOTRI ROADVADODARA</t>
  </si>
  <si>
    <t>URMILA VINAY VASISTHA</t>
  </si>
  <si>
    <t>AD-1SHREE KUNJ KUTIR</t>
  </si>
  <si>
    <t>NR PUSHPAM TENAMENTS OPP YASH COMPLEX</t>
  </si>
  <si>
    <t>VIRENDRASINH SURENDRASINH DEROLA</t>
  </si>
  <si>
    <t>36 ,RUPAL PARK SOC.,</t>
  </si>
  <si>
    <t>NEAR ESI HOSIPITAL,</t>
  </si>
  <si>
    <t>GOTRI ROAD,VADODARA.</t>
  </si>
  <si>
    <t>DIPEN ANILKUMAR PATEL</t>
  </si>
  <si>
    <t>9 SATYA PARK</t>
  </si>
  <si>
    <t>NEAR ELLORA PARK</t>
  </si>
  <si>
    <t>SUBHANPURA</t>
  </si>
  <si>
    <t>SATISH J. ASHNIWALA</t>
  </si>
  <si>
    <t>25, RACHANA NAGAR</t>
  </si>
  <si>
    <t>B/H. PRITAM- 2</t>
  </si>
  <si>
    <t>VIJAY KRISHANLAL ADLAKHA</t>
  </si>
  <si>
    <t>142/PHASE-2</t>
  </si>
  <si>
    <t>SHREE RANG TOWNSHIP</t>
  </si>
  <si>
    <t>JHADESHWARBHARUCH</t>
  </si>
  <si>
    <t>VIJAYKUMAR RAMANLAL PATEL</t>
  </si>
  <si>
    <t>AT &amp; POST - RAHAD,</t>
  </si>
  <si>
    <t>TA- VAGARA</t>
  </si>
  <si>
    <t>DEEPAK CHANDRAN</t>
  </si>
  <si>
    <t>DIAMOND DYE-CHEM LTD COLONY</t>
  </si>
  <si>
    <t>6216 GIDC PHASE IV</t>
  </si>
  <si>
    <t>THAKKAR KAVITA KETAN</t>
  </si>
  <si>
    <t>10 2006</t>
  </si>
  <si>
    <t>SONI FALIYA MAIN ROAD</t>
  </si>
  <si>
    <t>SURATGUJARAT</t>
  </si>
  <si>
    <t>JAYKUMAR JASHBHAI PATEL</t>
  </si>
  <si>
    <t>PL NO A/80, H NO GR FLOOR ROM NO 2,</t>
  </si>
  <si>
    <t>SHRI NILKANTH CO OP HOS SOC,</t>
  </si>
  <si>
    <t>SUMUL DAIRY RD,SURAT</t>
  </si>
  <si>
    <t>POLAIAH BANDARU</t>
  </si>
  <si>
    <t>B 160 PRABHUDARISHAN</t>
  </si>
  <si>
    <t>UGAT BHESAN ROAD MORA</t>
  </si>
  <si>
    <t>BHAGAL</t>
  </si>
  <si>
    <t>RAJULKUMAR JAYANTILAL PATEL</t>
  </si>
  <si>
    <t>75 YOGI KRUPA ROW HOUSE</t>
  </si>
  <si>
    <t>OPP CHOPATI</t>
  </si>
  <si>
    <t>NANA VARACHHA SURAT</t>
  </si>
  <si>
    <t>VINOD BABULAL SHETH</t>
  </si>
  <si>
    <t>47-SAI NAGAR SOCIETY</t>
  </si>
  <si>
    <t>B/H BHULKA BHAVAN SCHOOL</t>
  </si>
  <si>
    <t>ADAJANSURAT</t>
  </si>
  <si>
    <t>AVNI HARISH THAKKER</t>
  </si>
  <si>
    <t>D - 2 PRATHAM ROW HOUSE</t>
  </si>
  <si>
    <t>GATE NO 3 NR C K PATEL SCHOOL</t>
  </si>
  <si>
    <t>HONEY PARK ROAD NEW ADAJAN</t>
  </si>
  <si>
    <t>DIPIKABEN SAURABHBHAI AGRAWAL</t>
  </si>
  <si>
    <t>A/B1,GREEN VICTORY,</t>
  </si>
  <si>
    <t>NEAR ALTHAN PETROL PUMP,</t>
  </si>
  <si>
    <t>ALTHAN,</t>
  </si>
  <si>
    <t>GITABEN M. PATEL</t>
  </si>
  <si>
    <t>2, SHREENATHJI SOCIETY</t>
  </si>
  <si>
    <t>TITHAL ROAD, GOYA TALAO</t>
  </si>
  <si>
    <t>NANAKWADAVALSAD</t>
  </si>
  <si>
    <t>MILAN B THAKKAR</t>
  </si>
  <si>
    <t>OPP TOWN HALL</t>
  </si>
  <si>
    <t>NR D N SHOPPING CENTRE</t>
  </si>
  <si>
    <t>BABITA KAPILDEV PANDEY</t>
  </si>
  <si>
    <t>MOGRAWADI</t>
  </si>
  <si>
    <t>HEMANG JITENDRA SHAH</t>
  </si>
  <si>
    <t>B/H. JAIN DERASAR,</t>
  </si>
  <si>
    <t>VAPI.</t>
  </si>
  <si>
    <t>SHARDA M GUPTA</t>
  </si>
  <si>
    <t>375 ASHIRWAD CO OP HSG SOC</t>
  </si>
  <si>
    <t>FLAT NO G-1</t>
  </si>
  <si>
    <t>VIMI PANKAJRAI NAIK</t>
  </si>
  <si>
    <t>RCF20/232 CHANOD COLONY GIDC</t>
  </si>
  <si>
    <t>AKBAR CHATURBHAI ROY</t>
  </si>
  <si>
    <t>C/O ROYALGENERAL STORE</t>
  </si>
  <si>
    <t>NER CHECK POST KHANVEL</t>
  </si>
  <si>
    <t>SILVAASA</t>
  </si>
  <si>
    <t>KHANEL</t>
  </si>
  <si>
    <t>AMITBHAI RAMBHUVAN MISHRA</t>
  </si>
  <si>
    <t>206 KH ENDHAL FALIA</t>
  </si>
  <si>
    <t>KANCHHOLI 2 KANCHHOLI</t>
  </si>
  <si>
    <t>TA GANDEVI DIST NAVSARI</t>
  </si>
  <si>
    <t>KACHHOLI</t>
  </si>
  <si>
    <t>NITABEN MILANKUMAR MEHTA</t>
  </si>
  <si>
    <t>1594 77 SAHIL APPARTMENT</t>
  </si>
  <si>
    <t>RAJENDRA H. KHIMESRA</t>
  </si>
  <si>
    <t>1202,12TH FLOOR, DARSHAN HIGHTS,</t>
  </si>
  <si>
    <t>ZAOBA WADI, SITARAM PODDAR MARG,</t>
  </si>
  <si>
    <t>THAKUR DUWAR, GAURAKSHAKWADI,MUMBAI</t>
  </si>
  <si>
    <t>BHAVIK MUKESH SANGHVI</t>
  </si>
  <si>
    <t>E 45 SARVODAYA NAGAR 1ST PANJARAPOL</t>
  </si>
  <si>
    <t>ROAD 4TH FLR C P TANK RD</t>
  </si>
  <si>
    <t>ABIZER ABBAS PETIWALA</t>
  </si>
  <si>
    <t>74/H MAKER TOWERS</t>
  </si>
  <si>
    <t>CUFFE PARADE</t>
  </si>
  <si>
    <t>MUMBAIMUMBAI</t>
  </si>
  <si>
    <t>MAHENDRA MADHUKAR VAIDYA</t>
  </si>
  <si>
    <t>247/1, SUNDRABAI NIVAS,</t>
  </si>
  <si>
    <t>BHANDAR GALLI,</t>
  </si>
  <si>
    <t>NR LOKMANYA VIDYAMANDIR SCHOOL</t>
  </si>
  <si>
    <t>MAHIM, MUMBAI</t>
  </si>
  <si>
    <t>KAMLA S BHATT</t>
  </si>
  <si>
    <t>31 VORA BHUWAN</t>
  </si>
  <si>
    <t>ABOVE DENA BANK KING CIRCLE</t>
  </si>
  <si>
    <t>MATUNGAMUMBAI</t>
  </si>
  <si>
    <t>LKP SECURITIES LIMITED</t>
  </si>
  <si>
    <t>1303 &amp; 1304,RAHEJA CENTER,13TH FLOOR</t>
  </si>
  <si>
    <t>FREE PRESS MARG,</t>
  </si>
  <si>
    <t>NARIMAN POINTMUMBAI</t>
  </si>
  <si>
    <t>PRAKASH WAMANRAO MORE</t>
  </si>
  <si>
    <t>R NO. 5, FRUITWALA BLDG</t>
  </si>
  <si>
    <t>VAISHALI ROAD, LINES, DK ROAD</t>
  </si>
  <si>
    <t>RANI BAUG BYCULLA</t>
  </si>
  <si>
    <t>SHAKIR ALI ANSARI</t>
  </si>
  <si>
    <t>ROOM NO-90 AZAD NAGAR</t>
  </si>
  <si>
    <t>KALINA KURLA RD</t>
  </si>
  <si>
    <t>KALINA SANTACRUZ</t>
  </si>
  <si>
    <t>MITESH K SONI</t>
  </si>
  <si>
    <t>46 10 SAHAKAR NAGAR</t>
  </si>
  <si>
    <t>WADALA</t>
  </si>
  <si>
    <t>HARSHIL KETAN SHAH</t>
  </si>
  <si>
    <t>602, 6TH FLR, KUMUD MANSION,</t>
  </si>
  <si>
    <t>FORJET HILL ROAD,</t>
  </si>
  <si>
    <t>TARDEO,MUMBAI, MAHARASHTRA</t>
  </si>
  <si>
    <t>VARSHA DUNG</t>
  </si>
  <si>
    <t>BLDG NO 11 ROOM NO 494</t>
  </si>
  <si>
    <t>PANJABI COLONY GTB NAGAR</t>
  </si>
  <si>
    <t>NEAR HARI MANDIRMUMBAI MAHARASHTRA</t>
  </si>
  <si>
    <t>SATNAM G SINGH ARNEJA</t>
  </si>
  <si>
    <t>90 1/1 GTB NAGAR</t>
  </si>
  <si>
    <t>SION KOLIWADA RD</t>
  </si>
  <si>
    <t>ANTOP HILL SINGH SABHA GURUDWARAMUMBAI MAHARASHTRA</t>
  </si>
  <si>
    <t>TUFAIL ANSARI</t>
  </si>
  <si>
    <t>MUMBAI,MEM/95/1783/KR</t>
  </si>
  <si>
    <t>KAMLA RAMAN NAGAR</t>
  </si>
  <si>
    <t>BAIGANWADI</t>
  </si>
  <si>
    <t>ABUSAD AFZAL AHMAD</t>
  </si>
  <si>
    <t>PLOT NO 3 M LINE</t>
  </si>
  <si>
    <t>ROOM NO 5 BAIGAN WADI</t>
  </si>
  <si>
    <t>GOVANDIMUMBAI MAHARASHTRA</t>
  </si>
  <si>
    <t>SHOAIB ABDUL RAZZAK DAFEDAR</t>
  </si>
  <si>
    <t>B - 21 ROOM NO 5</t>
  </si>
  <si>
    <t>DEONAR MUNCIPAL COLONY</t>
  </si>
  <si>
    <t>GOVANDIMUMBAI</t>
  </si>
  <si>
    <t>PREMILA MARTIS PARERA</t>
  </si>
  <si>
    <t>B-302 JAGAT VIDYA</t>
  </si>
  <si>
    <t>BEHIND GURUNANAK HOSPITAL</t>
  </si>
  <si>
    <t>BANDRA EASTMUMBAI,MAHARASHTRA</t>
  </si>
  <si>
    <t>KHUBCHAND THAWANI</t>
  </si>
  <si>
    <t>KAVITA BLDG, FLAT NO.- 603</t>
  </si>
  <si>
    <t>PLOT NO.- 611, 15TH ROAD</t>
  </si>
  <si>
    <t>KHAR (WEST)MUMBAI</t>
  </si>
  <si>
    <t>RAKESH KISHINCHAND MILWANI</t>
  </si>
  <si>
    <t>FLAT NO 10 MALTI MAHAL</t>
  </si>
  <si>
    <t>4TH FLOOR 3RD ROAD</t>
  </si>
  <si>
    <t>KHAR WESTMUMBAI</t>
  </si>
  <si>
    <t>ARUNA RAJ NABH</t>
  </si>
  <si>
    <t>FLAT B, 406</t>
  </si>
  <si>
    <t>4TH FLOOR INDRALOK, B WING</t>
  </si>
  <si>
    <t>J P ROAD, ANDHERI WEST</t>
  </si>
  <si>
    <t>ROOPESH JITIN SINGH</t>
  </si>
  <si>
    <t>ROOM NO 1</t>
  </si>
  <si>
    <t>B D KADAM CHAWL VEERA DESAI RD</t>
  </si>
  <si>
    <t>AMBOLI HILL ANDHERI WMUMBAI</t>
  </si>
  <si>
    <t>VASRAM JIVA BHRASADIA</t>
  </si>
  <si>
    <t>BLDG 6 B FLAT NO 63</t>
  </si>
  <si>
    <t>RIDDHISIDDHI SOC MMRDA MHADA</t>
  </si>
  <si>
    <t>J V LINK ROAD ANDHERI E KAMAL STUDIOMUMBAI MAHARASHTRA</t>
  </si>
  <si>
    <t>ANIL KUMAR PILLAI</t>
  </si>
  <si>
    <t>ROOM NO 9 SUGANDH YADAVE CHAWL</t>
  </si>
  <si>
    <t>NATWAR NAGAR ROAD NO 1</t>
  </si>
  <si>
    <t>JOGESHWARI EASTMUMBAI</t>
  </si>
  <si>
    <t>PISHORI LAL ARORA</t>
  </si>
  <si>
    <t>1601 DHEERAJ VALLEY TOWER</t>
  </si>
  <si>
    <t>NEAR SAI BABA COMPLEX</t>
  </si>
  <si>
    <t>GOREGAON EASTMUMBAI</t>
  </si>
  <si>
    <t>PRAKASHINI GANESH SHENOY</t>
  </si>
  <si>
    <t>2/22, SONAL APPT, JAYPRAKASH</t>
  </si>
  <si>
    <t>NAGA GOREGAON (E)</t>
  </si>
  <si>
    <t>SUNIL VAMANRAI KUKADIA</t>
  </si>
  <si>
    <t>JOHOTECH SOLUTIONS PVT LTD 2/B</t>
  </si>
  <si>
    <t>MASTER MIND III IT PARK ROYAL PALMS</t>
  </si>
  <si>
    <t>AAREY COLONY GOREGAON E PARK PLAZAHOTEL MUMBAI MAHARASHTRA</t>
  </si>
  <si>
    <t>SHANTILAL ROSHANLAL KOTHARI</t>
  </si>
  <si>
    <t>24, GOKUL BLDG, M.G. ROAD,</t>
  </si>
  <si>
    <t>NEAR OMKARESHWAR TEMPLE</t>
  </si>
  <si>
    <t>BORIVLI EAST</t>
  </si>
  <si>
    <t>SANDEEP RAJNI MEHTA</t>
  </si>
  <si>
    <t>24/A SHIVSADAN</t>
  </si>
  <si>
    <t>CARTAR ROAD 1</t>
  </si>
  <si>
    <t>OPP DENA BANK BORIVALI EASTMUMBAI</t>
  </si>
  <si>
    <t>CHIRAG N. MEHTA</t>
  </si>
  <si>
    <t>B-503 AJOY CO OP HUG SOC</t>
  </si>
  <si>
    <t>OFF DATTA MANDIR ROAD</t>
  </si>
  <si>
    <t>PANDURANG SALUNKE MARGDAHANUKARWADI KANDIVALI WEST</t>
  </si>
  <si>
    <t>DIPALI DILIP PALAV</t>
  </si>
  <si>
    <t>SIDDHIYOG PLOT NO 232/7</t>
  </si>
  <si>
    <t>SECTOR NO 4 CHARKOP</t>
  </si>
  <si>
    <t>KANDIVALI W</t>
  </si>
  <si>
    <t>RAJU T POOJARY</t>
  </si>
  <si>
    <t>A-32, CHHEDA COMPLEX. M G ROAD,</t>
  </si>
  <si>
    <t>CHARKOP VILLAGE</t>
  </si>
  <si>
    <t>KANDIVLI WESTMUMBAI</t>
  </si>
  <si>
    <t>SUJATHA GOPALAKRISHNAN</t>
  </si>
  <si>
    <t>10 A / 10 B, 10TH FLR</t>
  </si>
  <si>
    <t>PLOT - 320, SAPPHIRE</t>
  </si>
  <si>
    <t>10TH ROAD, CHEMBURMUMBAI, MAHARASHTRA</t>
  </si>
  <si>
    <t>SHASHANK SIBAL</t>
  </si>
  <si>
    <t>GROUND FLOOR, AMRISHA 1</t>
  </si>
  <si>
    <t>SAI NAGAR HOUSING COLONY</t>
  </si>
  <si>
    <t>OFF ST ANTHONY ROADCHEMBUR, MUMBAI</t>
  </si>
  <si>
    <t>PRAKASH RAMKRISHNA NIGALYE</t>
  </si>
  <si>
    <t>3 RAJESHREE BLDG PLOT 82C</t>
  </si>
  <si>
    <t>N G ACHARYA MARG</t>
  </si>
  <si>
    <t>CHEMBURMUMBAI MAHARASHTRA</t>
  </si>
  <si>
    <t>VICKY CYRIL DSOUZA</t>
  </si>
  <si>
    <t>B/21, SAINATH HOUSING SOCIETY,</t>
  </si>
  <si>
    <t>MOHILI VILLAGE,</t>
  </si>
  <si>
    <t>SAKI NAKA, ANDHERI (E),</t>
  </si>
  <si>
    <t>SUDESH SUDAM GADEKAR</t>
  </si>
  <si>
    <t>G-1, SHREE SAI AMRUT,</t>
  </si>
  <si>
    <t>SHREE SAI JANTA CO-OP. HSG, SO</t>
  </si>
  <si>
    <t>JANTA SOCIETY MARG, GHATKOPAR</t>
  </si>
  <si>
    <t>VISHAL CHANDRAKANT BHOGLE</t>
  </si>
  <si>
    <t>NEAR KANYA SCHOOL 18</t>
  </si>
  <si>
    <t>NAVTARUN HOU SOCIETY SAMARTH NAGAR</t>
  </si>
  <si>
    <t>BHANDUP WESTMUMBAI MAHARASHTRA</t>
  </si>
  <si>
    <t>NITIN VIJAY HULE</t>
  </si>
  <si>
    <t>1 SAI SHAKTI NIWAS</t>
  </si>
  <si>
    <t>UTTKARSHA NAGAR</t>
  </si>
  <si>
    <t>BHANDUP W 78MUMBAI</t>
  </si>
  <si>
    <t>JAYESH JAGANNATH SALVI .</t>
  </si>
  <si>
    <t>6 KAMALABAI CHAWL</t>
  </si>
  <si>
    <t>SHIV SAI CHAWL WATER TANK ROAD</t>
  </si>
  <si>
    <t>RAMA BHANDUP WEST</t>
  </si>
  <si>
    <t>RYAN FONSECA</t>
  </si>
  <si>
    <t>E/33 PEARL HEAVEN</t>
  </si>
  <si>
    <t>VIKHROLI EAST,MUMBAI</t>
  </si>
  <si>
    <t>SINGH MANORAMA SHAMBHOO</t>
  </si>
  <si>
    <t>102 CHAKRESHWARI APT</t>
  </si>
  <si>
    <t>SARVODAYA NAGAR MULUND WEST</t>
  </si>
  <si>
    <t>GUNAJI SAHADEV DHURI</t>
  </si>
  <si>
    <t>MULUND SHITAL SOCIETY 2ND GALI</t>
  </si>
  <si>
    <t>NAVAGHAR ROAD MULUND W</t>
  </si>
  <si>
    <t>MULUND MAHARASHTRAINDIA</t>
  </si>
  <si>
    <t>GAURI RAHUL PALAVE</t>
  </si>
  <si>
    <t>ROOM NO 4086 CHAWL NO 338 GROUP NO 3</t>
  </si>
  <si>
    <t>TAGORE NAGAR VIKHROLI EAST NEAR CLE</t>
  </si>
  <si>
    <t>AR GLASS STORESMUMBAI MAHARASHTRA</t>
  </si>
  <si>
    <t>GAURAV SUDHAKAR LABDHE</t>
  </si>
  <si>
    <t>PL LOKHANDE MARG CHEMBUR 89</t>
  </si>
  <si>
    <t>RAMABAI CLNY TILAK NGR</t>
  </si>
  <si>
    <t>RAJENDRA VIJAYSINGH KAPADIA</t>
  </si>
  <si>
    <t>E-504, GORAI CHAND GANGA CHS.,</t>
  </si>
  <si>
    <t>PLOT NO.2, RSC-1A,</t>
  </si>
  <si>
    <t>GORAI-1, BORIVALI (W),</t>
  </si>
  <si>
    <t>MUGDHA KELKAR</t>
  </si>
  <si>
    <t>6-C KANCHANJUNGA</t>
  </si>
  <si>
    <t>ANUSHKTI NAGAR</t>
  </si>
  <si>
    <t>BHUPENDRA BHUPENDRA KOLI</t>
  </si>
  <si>
    <t>MANIK HOUSE MARVE ROAD</t>
  </si>
  <si>
    <t>NR LAXMI MEDICAL STORE</t>
  </si>
  <si>
    <t>MANORI MALAD EAST KHARODI</t>
  </si>
  <si>
    <t>JYOTHIRAJ V NAIR</t>
  </si>
  <si>
    <t>B 3/2 GROUND FLOOR AAI COLONY SAHAR</t>
  </si>
  <si>
    <t>ROAD ANDHERI EAST</t>
  </si>
  <si>
    <t>RAHIM KADIR KHAN</t>
  </si>
  <si>
    <t>E-82, MAHALAXMI CHAWL, NEAR SHANKAR</t>
  </si>
  <si>
    <t>MANDIR, GOKULNAGAR, LOKHANDWALA COMP</t>
  </si>
  <si>
    <t>LEX, AKURLI ROAD, KANDIVALIEASTMUMBAI MAHARASHTRA</t>
  </si>
  <si>
    <t>Y KRISHNA MOHAN</t>
  </si>
  <si>
    <t>BLDG 3/33 MHADA ANDHRA BANK OFCR FLT</t>
  </si>
  <si>
    <t>OSHIWARA LINKING ROAD</t>
  </si>
  <si>
    <t>JOGESHWARI WESTMUMBAI</t>
  </si>
  <si>
    <t>NEHA PRAMOD KHOPKAR</t>
  </si>
  <si>
    <t>804 B DHEERAJ RESIDENCY OFF</t>
  </si>
  <si>
    <t>LINK ROAD OPP GOREGAON BUS</t>
  </si>
  <si>
    <t>DEPOT GOREGAON W MOTILAL NAGAR</t>
  </si>
  <si>
    <t>KAMLESH BAIJNATHPRASAD SHARMA</t>
  </si>
  <si>
    <t>BEHIND NAGRIK STORE</t>
  </si>
  <si>
    <t>67 SNEH VASANT BLDG RAGHOBA</t>
  </si>
  <si>
    <t>SHANKAR ROAD CHENDANI</t>
  </si>
  <si>
    <t>GAJENDRA BASTIMAL JAIN</t>
  </si>
  <si>
    <t>ROOM NO 1-2</t>
  </si>
  <si>
    <t>HENDRE BLDG</t>
  </si>
  <si>
    <t>SAVANI ROAD</t>
  </si>
  <si>
    <t>LEO JOSEPH PINTO</t>
  </si>
  <si>
    <t>SNEH RUCHI 303/3RD FLR PARAB</t>
  </si>
  <si>
    <t>WADI NR BHAVANI GEN STORE,MENT</t>
  </si>
  <si>
    <t>AL HOSP RD DNYANSADHAND COL RD</t>
  </si>
  <si>
    <t>THANE (W)</t>
  </si>
  <si>
    <t>SONALI S SURVE</t>
  </si>
  <si>
    <t>ORCHID E 7TH FLOOR ROOM NO 703</t>
  </si>
  <si>
    <t>UNNATHI GARDENS</t>
  </si>
  <si>
    <t>SHIVAI NAGARTHANE</t>
  </si>
  <si>
    <t>SAIFUDDIN SALEHBHOY KACHWALA</t>
  </si>
  <si>
    <t>A/103 1ST FLR JYOTI APTS</t>
  </si>
  <si>
    <t>NARAYAN NGR</t>
  </si>
  <si>
    <t>MUMBRA</t>
  </si>
  <si>
    <t>AMBALAL JETHALAL PATEL</t>
  </si>
  <si>
    <t>C 5-13, 2.1 SECTOR IV</t>
  </si>
  <si>
    <t>C.B.D. BELAPUR,</t>
  </si>
  <si>
    <t>PRAVIN GAJANAN DHUMAL</t>
  </si>
  <si>
    <t>F NO 304/B SIDDHIVINAYAK APPT</t>
  </si>
  <si>
    <t>KASAM BHAT</t>
  </si>
  <si>
    <t>URAN RAIGADTHANE MAHARASHTRA INDIA</t>
  </si>
  <si>
    <t>NIRAV KARSHAN DAMA</t>
  </si>
  <si>
    <t>26/A, FLAT NO.102, VANDAN</t>
  </si>
  <si>
    <t>PALACE PLOT NO.5, KOPARIGAON</t>
  </si>
  <si>
    <t>WAGHMARE SHRIMANT NARAYAN</t>
  </si>
  <si>
    <t>SAHYOG CHS D 05 ROOM NO 13 3RD FLOOR</t>
  </si>
  <si>
    <t>NEAR DAV PUBLIC SCHOOL</t>
  </si>
  <si>
    <t>SEC 48 A NERUL SEAWOODSNAVI MUMBAI MAHARASHTRA INDIA</t>
  </si>
  <si>
    <t>AMIT KUMAR PATRA</t>
  </si>
  <si>
    <t>FLAT NO. B-101, AISHWARYA LAKE</t>
  </si>
  <si>
    <t>PLOT NO. 61,62,63 SECTOR 19-C</t>
  </si>
  <si>
    <t>KOPAR KHAIRANENAVI MUMBAI</t>
  </si>
  <si>
    <t>MOHAMMED ARIF SHAIKH</t>
  </si>
  <si>
    <t>A/501 GOLDEN NEST SONAM SAPHIRE CHS</t>
  </si>
  <si>
    <t>PHASE 5 MIRA BHDB ROAD</t>
  </si>
  <si>
    <t>MIRA ROAD EAST NEAR GOLDEN NEST CIRCMUMBAI MAHARASHTRA INDIA</t>
  </si>
  <si>
    <t>JAY PRAKASH GAURI SHANKAR SHARMA</t>
  </si>
  <si>
    <t>703 BLDG NO.8, PHASE.5</t>
  </si>
  <si>
    <t>GOLDEN NEXT GEETA NAGAR</t>
  </si>
  <si>
    <t>KASHIMIRA ROAD BHAYANDER EAST</t>
  </si>
  <si>
    <t>BINNY A OJHA</t>
  </si>
  <si>
    <t>401, SHANTI VIHAR CO-OP HSG SOC-A1,</t>
  </si>
  <si>
    <t>NEXT TO HARDIK PALACE HOTEL,</t>
  </si>
  <si>
    <t>MIRA ROAD EASTTHANE</t>
  </si>
  <si>
    <t>NARINDER SINGH BHOGAL</t>
  </si>
  <si>
    <t>C202AKASHBUILDINGRAJHANSCOMPLE</t>
  </si>
  <si>
    <t>X B/HBD.G.NAGARNEARK.T.VILLAG</t>
  </si>
  <si>
    <t>E VASAI ROAD W THANE</t>
  </si>
  <si>
    <t>RAMESH RATANSHI KARANI</t>
  </si>
  <si>
    <t>B/203, RAM RAHIM PALACE,</t>
  </si>
  <si>
    <t>SAMTA NAGAR,</t>
  </si>
  <si>
    <t>VASAI (W),</t>
  </si>
  <si>
    <t>K.BALAN .</t>
  </si>
  <si>
    <t>D-209, SHELTOR, DIWANMAN ,</t>
  </si>
  <si>
    <t>AMBADI ROAD , VASAI ROAD (W) ,</t>
  </si>
  <si>
    <t>DISI: THANE,</t>
  </si>
  <si>
    <t>AMIT LOUIS TUSCANO</t>
  </si>
  <si>
    <t>NANDAKHAL GHOSALI</t>
  </si>
  <si>
    <t>PO AGASHI</t>
  </si>
  <si>
    <t>VIRAR WESTTAL VASAI</t>
  </si>
  <si>
    <t>DIST THANE</t>
  </si>
  <si>
    <t>REJINA LOUIS RODRIGUES</t>
  </si>
  <si>
    <t>PARSAV, KOFRAD</t>
  </si>
  <si>
    <t>POST AGASHI</t>
  </si>
  <si>
    <t>TAL VASAITHANE</t>
  </si>
  <si>
    <t>BRIJESH YATINORA JOSHI</t>
  </si>
  <si>
    <t>CHANDANSAR VIRAR E SHRI GANESH APT</t>
  </si>
  <si>
    <t>R NO A 101 TAL VASAI</t>
  </si>
  <si>
    <t>DIST THANETHANE MAHARASHTRA</t>
  </si>
  <si>
    <t>DEEPAK NAUDIYAL</t>
  </si>
  <si>
    <t>KRISHNAVAN KRISHNANAGAR</t>
  </si>
  <si>
    <t>TAL PALGHAR</t>
  </si>
  <si>
    <t>BOISAR</t>
  </si>
  <si>
    <t>RAMESH MANIKRAO NANDGAWLE</t>
  </si>
  <si>
    <t>BLDG NO 16 FLAT NO 01</t>
  </si>
  <si>
    <t>SAI BABA NAGAR</t>
  </si>
  <si>
    <t>BHUMIKA AMISH PATEL</t>
  </si>
  <si>
    <t>AT POST BORDI</t>
  </si>
  <si>
    <t>TAL- DAHANU DIST- THANE</t>
  </si>
  <si>
    <t>DAHANU</t>
  </si>
  <si>
    <t>SADANAND BHIKAJI WALANJ</t>
  </si>
  <si>
    <t>AT KUHIRE</t>
  </si>
  <si>
    <t>POST PIGONDE</t>
  </si>
  <si>
    <t>TAL PENDIST RAIGAD</t>
  </si>
  <si>
    <t>MADANLAL GOVINDA BHOYAR</t>
  </si>
  <si>
    <t>AM 26 PETROCHEMICALS TOWNSHIP</t>
  </si>
  <si>
    <t>PRAVIN CHANDRAKANT PEDNEKAR</t>
  </si>
  <si>
    <t>FLAT NO D 2 SHREE BHAGAWATI</t>
  </si>
  <si>
    <t>KRUPA HSG SOCIETY NR CIVIL COURT</t>
  </si>
  <si>
    <t>PONDAGOA</t>
  </si>
  <si>
    <t>PRIYA DEEPAK FAL DESSAI</t>
  </si>
  <si>
    <t>D/O Bhiku Naik Desai R.H.No 26,Kurtarkar Joaquim</t>
  </si>
  <si>
    <t>Maria Symphony Ambaji</t>
  </si>
  <si>
    <t>VIVEK RAMDAS SHIRALI</t>
  </si>
  <si>
    <t>FLAT NO 3 GRD FLOOR KANAK SAWLI BLDG</t>
  </si>
  <si>
    <t>PLOT NO 140/2 PANVEL</t>
  </si>
  <si>
    <t>NISHA DILEEP KOLHE</t>
  </si>
  <si>
    <t>FLAT NO B 207 OMKAR ARCADE</t>
  </si>
  <si>
    <t>SEC 15 A CIDCO</t>
  </si>
  <si>
    <t>NEW PANVELMAHARASHTRA</t>
  </si>
  <si>
    <t>UJWALA PAWADE</t>
  </si>
  <si>
    <t>D 116 SHAH ARCADE</t>
  </si>
  <si>
    <t>PLOT NO 4 AND 5 SECTOR 6</t>
  </si>
  <si>
    <t>KHARGHAR NR POWER HOUSE</t>
  </si>
  <si>
    <t>GANESH MURLIDHAR JAGNADE</t>
  </si>
  <si>
    <t>FLAT NO 12 SANSKRUTI APT WING A</t>
  </si>
  <si>
    <t>OFF GAJANAN TUKARAM NAGAR</t>
  </si>
  <si>
    <t>MAHESH KANHYALAL KHANDELWAL</t>
  </si>
  <si>
    <t>6A TADIWALA ROAD</t>
  </si>
  <si>
    <t>BEHIND PUNE RAILWAY STATION</t>
  </si>
  <si>
    <t>ABDUL RAHIM SAYED</t>
  </si>
  <si>
    <t>FL NO B 402 LA SALETEE KASTURI</t>
  </si>
  <si>
    <t>SHELTER S NO 134 HISSA 12</t>
  </si>
  <si>
    <t>MUNDHWA RD HADAPSAR</t>
  </si>
  <si>
    <t>SANTOSH BASVARAJ KAKAMARI</t>
  </si>
  <si>
    <t>7 SAPNA SRP ROAD</t>
  </si>
  <si>
    <t>RAMTEKDI</t>
  </si>
  <si>
    <t>ANUJ RAGHUNATH DIVEKAR</t>
  </si>
  <si>
    <t>SR NO 39 JIJAUV BUNGLOW</t>
  </si>
  <si>
    <t>NIVRUTI DEOKAR RESIDENCY</t>
  </si>
  <si>
    <t>VADGAONSHERI</t>
  </si>
  <si>
    <t>CHAITANYA RAMESH KULKARNI</t>
  </si>
  <si>
    <t>64/1</t>
  </si>
  <si>
    <t>INDRAYANI NAGAR</t>
  </si>
  <si>
    <t>BHOSARI</t>
  </si>
  <si>
    <t>AVINASH BHASKAR AVHAD</t>
  </si>
  <si>
    <t>DNYANDEEP</t>
  </si>
  <si>
    <t>19/1-B/1</t>
  </si>
  <si>
    <t>NEAR SANGAM PRESS</t>
  </si>
  <si>
    <t>UPENDRA KUMAR SINGH</t>
  </si>
  <si>
    <t>S/O BANARSI PRASAD SINGH 816/2</t>
  </si>
  <si>
    <t>VAYU SENA NAGAR AIR FORCE</t>
  </si>
  <si>
    <t>STATION LOHEGAON PUNE CITY</t>
  </si>
  <si>
    <t>SAMEER KAILAS EKHE</t>
  </si>
  <si>
    <t>B/8, RENUKA AANGAN, S NO 302,</t>
  </si>
  <si>
    <t>C S NO 570, HISSA NO 2/1,</t>
  </si>
  <si>
    <t>CHINCHWAD,</t>
  </si>
  <si>
    <t>SHETH NILESH JAWAHAR</t>
  </si>
  <si>
    <t>SHWETA APP F NO A-19 4TH FLOOR</t>
  </si>
  <si>
    <t>S NO 29/1A/2</t>
  </si>
  <si>
    <t>WADGAON BK</t>
  </si>
  <si>
    <t>BAJARE KIRTI AMIT</t>
  </si>
  <si>
    <t>HOUSE NO 992 BUNGLOW NO 18</t>
  </si>
  <si>
    <t>SAUDAGAR HOUSING SOCIETY</t>
  </si>
  <si>
    <t>DHANKAWADIPUNE</t>
  </si>
  <si>
    <t>AMIT BAJARE</t>
  </si>
  <si>
    <t>PLOT NO 18</t>
  </si>
  <si>
    <t>SAOUDAGA SOC</t>
  </si>
  <si>
    <t>DHANKAWADIPUNE, MAHARASHTRA</t>
  </si>
  <si>
    <t>KULKARNI RATNAKAR D</t>
  </si>
  <si>
    <t>H NO 21 KIRTI SOCY</t>
  </si>
  <si>
    <t>SECT 28 COOPER COLY</t>
  </si>
  <si>
    <t>PRADHIKARAN MH AKURDI</t>
  </si>
  <si>
    <t>KHAJAPPA BHIMASHA SINGE</t>
  </si>
  <si>
    <t>ROOM NO H 1/7 MILIND NAGAR NEAR</t>
  </si>
  <si>
    <t>SANJAY HOTEL NEAR YAMUNA NAGAR</t>
  </si>
  <si>
    <t>PUNEMAHARASHTRA,INDIA</t>
  </si>
  <si>
    <t>ALIABBAS TASADDUQ SURTI</t>
  </si>
  <si>
    <t>FL NO B2 801 ATUL NAGAR</t>
  </si>
  <si>
    <t>PHASE II S 79 B RESI1 PHASE</t>
  </si>
  <si>
    <t>NATIONAL HIGHWAY PUNE</t>
  </si>
  <si>
    <t>WARJE PUNE</t>
  </si>
  <si>
    <t>RUPESH ARUN GONTE</t>
  </si>
  <si>
    <t>BASILEO SURVEY NO 38 PIMPLE</t>
  </si>
  <si>
    <t>GURAV OPPOSITE NARMADA GARDEN</t>
  </si>
  <si>
    <t>PUNE 411061</t>
  </si>
  <si>
    <t>SURENDRA GOVIND BHANDARE</t>
  </si>
  <si>
    <t>AT POST AMBAVADE TAL-BHOR</t>
  </si>
  <si>
    <t>BHOR</t>
  </si>
  <si>
    <t>NAMDEO BHAUSAHEB DHAWLE</t>
  </si>
  <si>
    <t>KUMBHARKAR VASTI ROAD MEMANVADI-MIRVDI</t>
  </si>
  <si>
    <t>FLAT NO 702 5A IRIS BLDG KALPATARU</t>
  </si>
  <si>
    <t>SERENITY MAHADEO NAGAR MANJARI</t>
  </si>
  <si>
    <t>NR NAVARATNA MANGAL KARYALAYAPUNE MAHARASHTRA INDIA</t>
  </si>
  <si>
    <t>VISHAL VILAS KARANJE</t>
  </si>
  <si>
    <t>VINAYAK NAGAR 19/4</t>
  </si>
  <si>
    <t>RAVIVAR PETH WAI</t>
  </si>
  <si>
    <t>DIST SATARA</t>
  </si>
  <si>
    <t>WAI</t>
  </si>
  <si>
    <t>PRALAHAD SADASHIV MOZAR</t>
  </si>
  <si>
    <t>KOLAN MU PO PASARNI</t>
  </si>
  <si>
    <t>TALUKA WAI DIST SATARA</t>
  </si>
  <si>
    <t>BIRUDEO NIVRUTTHI SURAVADE</t>
  </si>
  <si>
    <t>NEAR NIRALE VASTI BUILDING</t>
  </si>
  <si>
    <t>NO-4 ROOM NO -36</t>
  </si>
  <si>
    <t>ARVIND DHAM POLICE VASAHATSOLAPUR</t>
  </si>
  <si>
    <t>UMESHKUMAR NATHURAM TIWARI</t>
  </si>
  <si>
    <t>21 RADHA KRISHNA COLONY</t>
  </si>
  <si>
    <t>MURARJI PETH</t>
  </si>
  <si>
    <t>SHARAD J UPPIN</t>
  </si>
  <si>
    <t>5A JAGADAMBA NAGAR</t>
  </si>
  <si>
    <t>MAJAREWADI JULE SOLAPUR</t>
  </si>
  <si>
    <t>SOLAPURSOLAPUR MAHARASHTRA INDIA</t>
  </si>
  <si>
    <t>POPATLAL TEJRAJ GANDHI</t>
  </si>
  <si>
    <t>ZAVERI ARKED MAIN ROAD</t>
  </si>
  <si>
    <t>BARAMATI TAL BARAMATI</t>
  </si>
  <si>
    <t>SURESH APPU BHANDARY</t>
  </si>
  <si>
    <t>NEAR VIDYA PRATISHTHAN COLLEGE</t>
  </si>
  <si>
    <t>SOMA HOUSING FLAT C 6 R 4 MIDC</t>
  </si>
  <si>
    <t>JAYANT SHARASHCHANDRA KAJALEKAR</t>
  </si>
  <si>
    <t>SARASWATI NIVAS</t>
  </si>
  <si>
    <t>NEAR UDYOG BHAVAN</t>
  </si>
  <si>
    <t>SHIVAJI NAGAR</t>
  </si>
  <si>
    <t>BHARAT LAXMAN UNDE</t>
  </si>
  <si>
    <t>A/P MALUNJA</t>
  </si>
  <si>
    <t>TAL SHRIRAMPUR</t>
  </si>
  <si>
    <t>SHRIRAMPUR</t>
  </si>
  <si>
    <t>ONKAR KHANDERAO PATIL</t>
  </si>
  <si>
    <t>WARD NO 1</t>
  </si>
  <si>
    <t>JAGDHISH PUNDLIK SANAP</t>
  </si>
  <si>
    <t>ASHWINI COLONI</t>
  </si>
  <si>
    <t>PURSHOTTAM DIGAMBAR MULAY</t>
  </si>
  <si>
    <t>SUKHADA CHS</t>
  </si>
  <si>
    <t>DRISHTY WARD NO 3</t>
  </si>
  <si>
    <t>BHAUSAHEB NIVRUTTI WAMANE</t>
  </si>
  <si>
    <t>A/P MALEWADI TAL SHRIRAMPUR</t>
  </si>
  <si>
    <t>DHOOT PAWANKUMAR R .</t>
  </si>
  <si>
    <t>AP 6/2 NR PLESENT PARK</t>
  </si>
  <si>
    <t>SARAS NAGAR</t>
  </si>
  <si>
    <t>PATIL GANESH RAMDAS .</t>
  </si>
  <si>
    <t>PLOT NO 4 2ND FLOOR</t>
  </si>
  <si>
    <t>MIRA SADAN BHAVANINAGAR</t>
  </si>
  <si>
    <t>MARKET YARD</t>
  </si>
  <si>
    <t>VIKAS VISHNUPANT SHAHANE</t>
  </si>
  <si>
    <t>86 B MARWAD GALLI</t>
  </si>
  <si>
    <t>GANVATHAN</t>
  </si>
  <si>
    <t>SHEOGAON</t>
  </si>
  <si>
    <t>ANITA RAVINDRA KSIRSAGAR</t>
  </si>
  <si>
    <t>90,</t>
  </si>
  <si>
    <t>DURVANKAR JAVAN CO. OP. HOUSING,</t>
  </si>
  <si>
    <t>SAINIKNAGAR SADAR BAZAR,SATARA</t>
  </si>
  <si>
    <t>RAGHUNATH ANNA KADAM</t>
  </si>
  <si>
    <t>PLOT NO 5, KODOLI,</t>
  </si>
  <si>
    <t>KHINDWADI ROAD,</t>
  </si>
  <si>
    <t>KARMAVEER NAGAR, KODOLI, MIDC,</t>
  </si>
  <si>
    <t>SHANKAR BENIRAM CHOUDHARI</t>
  </si>
  <si>
    <t>SHIKSHK COLONY</t>
  </si>
  <si>
    <t>CHANDANI CHOWK</t>
  </si>
  <si>
    <t>SATARAMAYANI MAAHRASHTRA</t>
  </si>
  <si>
    <t>JAYA VIKRAM OSWAL</t>
  </si>
  <si>
    <t>PARIJAT APT BUDHWAR PETH</t>
  </si>
  <si>
    <t>1ST FLOOR STATION ROAD</t>
  </si>
  <si>
    <t>ASHOK RAMESH BHANDE</t>
  </si>
  <si>
    <t>A P 3 MALHAR PETH</t>
  </si>
  <si>
    <t>TAL DIST SATARA</t>
  </si>
  <si>
    <t>SATARA 415206</t>
  </si>
  <si>
    <t>VISHANU ANNA THORAT</t>
  </si>
  <si>
    <t>KALVADE</t>
  </si>
  <si>
    <t>KALAWADE KARAD SATARA</t>
  </si>
  <si>
    <t>NAJIKACHA BHAG</t>
  </si>
  <si>
    <t>KALAVADE</t>
  </si>
  <si>
    <t>HEMANT BHARGAV POTPHODE</t>
  </si>
  <si>
    <t>AT POST KHEDSHI GAYALVADI,</t>
  </si>
  <si>
    <t>TAL AND DIST RATNAGIRI,</t>
  </si>
  <si>
    <t>RATNAGIRI,MAHARASHTRA</t>
  </si>
  <si>
    <t>JAYESH SHANKAR KALOKHE</t>
  </si>
  <si>
    <t>928/A AKANKSHA</t>
  </si>
  <si>
    <t>ADARSHANAGAR</t>
  </si>
  <si>
    <t>PADWE WADI TALRATNAGIRI</t>
  </si>
  <si>
    <t>AMIT KUMAR DUTTA</t>
  </si>
  <si>
    <t>GE PROJECT OFFICE RATNAGIRI GAS &amp;</t>
  </si>
  <si>
    <t>POWER PVT LTD TALUKA GUHAGAR</t>
  </si>
  <si>
    <t>DIST RATNAGIRI POST ANJANVELMAHARASHTRA</t>
  </si>
  <si>
    <t>SACHIN BHISTANAWAR</t>
  </si>
  <si>
    <t>PLOT NO 12/1 SHIVAJI HOS SOC</t>
  </si>
  <si>
    <t>TAL SHIROL</t>
  </si>
  <si>
    <t>DIST KOLHAPUR</t>
  </si>
  <si>
    <t>ARVIND PRATAPRAO JAGADALE</t>
  </si>
  <si>
    <t>M P SHIROL</t>
  </si>
  <si>
    <t>MADHURI UMESH MALAKAR</t>
  </si>
  <si>
    <t>TELLI GALLI</t>
  </si>
  <si>
    <t>WADAGAON</t>
  </si>
  <si>
    <t>CHANDRAKANT GAJANAN PATIL</t>
  </si>
  <si>
    <t>FLAT NO. 301</t>
  </si>
  <si>
    <t>SAMARTH SANKUL</t>
  </si>
  <si>
    <t>KARVIR,KOLHAPUR,VADGAON,PETHWA</t>
  </si>
  <si>
    <t>SANJAY BABURAO MALI</t>
  </si>
  <si>
    <t>BEHIND AMOL BEKARY,</t>
  </si>
  <si>
    <t>GANGA NAGAR, ICHALKARANJI</t>
  </si>
  <si>
    <t>TAL - HATKANAGALE,</t>
  </si>
  <si>
    <t>SATISH BALKRISHAN KHANDAGALE</t>
  </si>
  <si>
    <t>AT POST. HARIPUR, TAL-MIRAJ,</t>
  </si>
  <si>
    <t>DIST. SANGLI</t>
  </si>
  <si>
    <t>DATTAPRASAD PRABHAKAR MASURKAR</t>
  </si>
  <si>
    <t>SHIVAN APPARTMENT</t>
  </si>
  <si>
    <t>VAISHYWADA</t>
  </si>
  <si>
    <t>SAWANTWADI MAHARASHTRA</t>
  </si>
  <si>
    <t>GANESH RATAN PAWAR</t>
  </si>
  <si>
    <t>C/O RAMLAL GAIKWAD B K NO 162 R N 12</t>
  </si>
  <si>
    <t>DIST THANEMAHARASHTRA</t>
  </si>
  <si>
    <t>SWAPNA BABU</t>
  </si>
  <si>
    <t>D 502 5 TH FLOOR D WING</t>
  </si>
  <si>
    <t>RIDDHI PARK THAKURLI EAST</t>
  </si>
  <si>
    <t>CHOLEGAON KALYANTHANE</t>
  </si>
  <si>
    <t>AMITKUMAR G SINGH .</t>
  </si>
  <si>
    <t>457 JYOTI NGR VIJAY NGR AYRE</t>
  </si>
  <si>
    <t>GAON NR WATER TANK LALBAHADUR</t>
  </si>
  <si>
    <t>SHASTRISCHLDOMBIVALIEKALYAN</t>
  </si>
  <si>
    <t>ALKA AJIT WAKDE</t>
  </si>
  <si>
    <t>201,SHREE DATT APT.,</t>
  </si>
  <si>
    <t>M.PHULE ROAD,</t>
  </si>
  <si>
    <t>VIJAY COLONY,DOMBIVLI (W)</t>
  </si>
  <si>
    <t>BHANGALE KANHAIYA SANDU</t>
  </si>
  <si>
    <t>13 GANGADHAR APT</t>
  </si>
  <si>
    <t>BEHIND CHURCH SHIVAJI RD</t>
  </si>
  <si>
    <t>DOMBIVALI WEST</t>
  </si>
  <si>
    <t>PUSHPALATHA S NAIDU</t>
  </si>
  <si>
    <t>B 203 FIRST FLOOR</t>
  </si>
  <si>
    <t>SIDDHAKALA CHS</t>
  </si>
  <si>
    <t>RH - 98 MIDC PHASE 2DOMBIVLI EAST</t>
  </si>
  <si>
    <t>JOSEPH KURIAN PARAPPALLIL</t>
  </si>
  <si>
    <t>A - 7 AWAS APT</t>
  </si>
  <si>
    <t>RAMBAUG LANE</t>
  </si>
  <si>
    <t>NO 2KALYAN (W)</t>
  </si>
  <si>
    <t>Dattatry Anant Rale</t>
  </si>
  <si>
    <t>Room No 3, Dole Niwas,</t>
  </si>
  <si>
    <t>Near Ram Mandir Joshi Bagg,</t>
  </si>
  <si>
    <t>Kalyan (W)</t>
  </si>
  <si>
    <t>RAJU KARTAR VASWANI</t>
  </si>
  <si>
    <t>104 B WING NILOY CHS PLOT NO 82</t>
  </si>
  <si>
    <t>BHIDEWADI KANSAI SEC</t>
  </si>
  <si>
    <t>AMBERNATH ETHANE MAHARASHTRA</t>
  </si>
  <si>
    <t>PRAJOTH PEETHAMBARAN</t>
  </si>
  <si>
    <t>7 PEONY PANVELKAR GARDEN</t>
  </si>
  <si>
    <t>KHOJGAON AMBERNATH WEST</t>
  </si>
  <si>
    <t>THANE DISTRICT</t>
  </si>
  <si>
    <t>TEJAS RAJENDRA GAVALI</t>
  </si>
  <si>
    <t>N-1-A/58 SHIVAJI CHOWK SHIVAJI CHOWK BUS STOP</t>
  </si>
  <si>
    <t>JUNA CIDCO</t>
  </si>
  <si>
    <t>VADNERE REKHA SUDHIR</t>
  </si>
  <si>
    <t>MINAD</t>
  </si>
  <si>
    <t>MAHALE FIRM RANAPRATAP CHOWK</t>
  </si>
  <si>
    <t>SHIVAJI WAMANRAO SONAWANE</t>
  </si>
  <si>
    <t>S,N, 392.P.N SINGAPUR</t>
  </si>
  <si>
    <t>GARDEN NASIK</t>
  </si>
  <si>
    <t>NIKHIL RAMESH DHADIWAL</t>
  </si>
  <si>
    <t>18, MAHAVEER NAGAR,NR ANURADHA</t>
  </si>
  <si>
    <t>THEATRE DURGA GARDEN,NASIK</t>
  </si>
  <si>
    <t>ROAD,</t>
  </si>
  <si>
    <t>MAHAJAN SOPAN SHANTARAM</t>
  </si>
  <si>
    <t>FLAT NO 4 2ND FLOOR</t>
  </si>
  <si>
    <t>CHAUDHARI PARK</t>
  </si>
  <si>
    <t>SHIVAJI UDYAN AT POST PALSE NASHIKMAHARASHTRA</t>
  </si>
  <si>
    <t>PREETI RITESH KOTHADIA</t>
  </si>
  <si>
    <t>8 MAHURGADH SOC DATTA MANDIR ROAD</t>
  </si>
  <si>
    <t>GAIKWAD MALA NASHIK ROAD</t>
  </si>
  <si>
    <t>NILAM SANJAY NEHE</t>
  </si>
  <si>
    <t>BADAGE ATPO SAWARGAON TAL</t>
  </si>
  <si>
    <t>SAWARGAON TAL</t>
  </si>
  <si>
    <t>SWAPNIL KANTILAL BAFANA</t>
  </si>
  <si>
    <t>PARVAT HIGHTS GALA NO 2</t>
  </si>
  <si>
    <t>SANATA ROAD</t>
  </si>
  <si>
    <t>MALEGAON</t>
  </si>
  <si>
    <t>PURUSHOTTAM NANDLAL KABRA</t>
  </si>
  <si>
    <t>M/S S.N.KABRA</t>
  </si>
  <si>
    <t>PB NO-46,TAMBAKATA,</t>
  </si>
  <si>
    <t>SANGITA DINESH GABDA</t>
  </si>
  <si>
    <t>BLOCK NO F- 3,</t>
  </si>
  <si>
    <t>KUMAR NAGAR</t>
  </si>
  <si>
    <t>HUNDRAJ CHIMANDAS DENBANI</t>
  </si>
  <si>
    <t>SINDHI COLONY</t>
  </si>
  <si>
    <t>CHALISGAON</t>
  </si>
  <si>
    <t>NILESH CHANDRAKANT MAHAJAN</t>
  </si>
  <si>
    <t>PLOT NO 548/2/1</t>
  </si>
  <si>
    <t>GANESHWADI NEAR CHOKHAMELA HOS</t>
  </si>
  <si>
    <t>VIVEK KRISHNA MHATRE</t>
  </si>
  <si>
    <t>5 KUNDAN SAPTARSHI APPT</t>
  </si>
  <si>
    <t>RANCHOD NAGAR BEHIND</t>
  </si>
  <si>
    <t>PANCHMUKHI MANDIR</t>
  </si>
  <si>
    <t>AARTI ATUL KABRA</t>
  </si>
  <si>
    <t>SACHIN KHIWANMAL LOHIYA</t>
  </si>
  <si>
    <t>B-201</t>
  </si>
  <si>
    <t>2ND FLOOR, SHREE PLAZA APPTT.</t>
  </si>
  <si>
    <t>BHUSWAL ROAD. MIDC</t>
  </si>
  <si>
    <t>PRAKASH RATANLAL SURANA</t>
  </si>
  <si>
    <t>SURANA NIWAS, AT.- BODWAD, D</t>
  </si>
  <si>
    <t>BODWAD</t>
  </si>
  <si>
    <t>JUGRAJ MULTANMAL JAIN</t>
  </si>
  <si>
    <t>TALODA ROAD</t>
  </si>
  <si>
    <t>AT-POST NANDURBAR</t>
  </si>
  <si>
    <t>DIST. NANDURBAR</t>
  </si>
  <si>
    <t>RAMESH KISAN SHINGADE</t>
  </si>
  <si>
    <t>H.NO 6-9-67 NAGSEN NAGAR</t>
  </si>
  <si>
    <t>USMANPURA Aurangabad</t>
  </si>
  <si>
    <t>Aurangabad Maharashtra 431001</t>
  </si>
  <si>
    <t>SURESH VITTHALRAO TAMBE</t>
  </si>
  <si>
    <t>SURVEY NO 156/11 PLOT NO 27</t>
  </si>
  <si>
    <t>NEAR MORE KIRANA STORES</t>
  </si>
  <si>
    <t>SUREWADI NEW MONDHAAURANGABAD</t>
  </si>
  <si>
    <t>GIRISH MANOHAR RATNAPARKHI</t>
  </si>
  <si>
    <t>H.NO. GAJANAN NAGAR</t>
  </si>
  <si>
    <t>TQ MAJALGAON</t>
  </si>
  <si>
    <t>DIST BEEDMAJALGAON</t>
  </si>
  <si>
    <t>SANJAY DURGAPRASAD KARWA</t>
  </si>
  <si>
    <t>VISHAL COMPLEX,</t>
  </si>
  <si>
    <t>AURANGABAD ROAD,</t>
  </si>
  <si>
    <t>VISHAL CORNER,</t>
  </si>
  <si>
    <t>VILAS G JAIN</t>
  </si>
  <si>
    <t>1/34/5, KALIKURTI JALNA</t>
  </si>
  <si>
    <t>R. P. ROAD</t>
  </si>
  <si>
    <t>NEAR RAM MANDIRJALNA</t>
  </si>
  <si>
    <t>VARSHA SHRIKANT DESHPANDE</t>
  </si>
  <si>
    <t>28, PARIJAT</t>
  </si>
  <si>
    <t>NATHNAGAR</t>
  </si>
  <si>
    <t>MANTHA ROADJALNA</t>
  </si>
  <si>
    <t>MANGAL SURENDRAKUMAR DALVI</t>
  </si>
  <si>
    <t>SUMANGAL ARYANANDI CHOWK</t>
  </si>
  <si>
    <t>GAJANAN NAGAR</t>
  </si>
  <si>
    <t>KAREGAON ROADPARBHANI</t>
  </si>
  <si>
    <t>VISHWAMBHAR K PIMPALGAONKAR</t>
  </si>
  <si>
    <t>C/O K G KULKARNI</t>
  </si>
  <si>
    <t>SHRIRAMNAGAR</t>
  </si>
  <si>
    <t>KAREGAON ROAD PARBHANINEAR BIG WATER TANK</t>
  </si>
  <si>
    <t>SUSHIL RADHAVALLABH KABRA</t>
  </si>
  <si>
    <t>1/5/28 CHONDESHWARI</t>
  </si>
  <si>
    <t>MANWATH</t>
  </si>
  <si>
    <t>RAJESH CHANDULAL KANKARIA</t>
  </si>
  <si>
    <t>TAWAR GANESHPAR ROAD</t>
  </si>
  <si>
    <t>PARLI V</t>
  </si>
  <si>
    <t>MR RAMRAO GANPATRAO LASHKARE</t>
  </si>
  <si>
    <t>KUMBHAR GALLI</t>
  </si>
  <si>
    <t>SONPETH</t>
  </si>
  <si>
    <t>BALAJI NAGNATH BIDWAI</t>
  </si>
  <si>
    <t>S/O BIDWAI NAGNATH 4-18-1</t>
  </si>
  <si>
    <t>BAGWAN GALLI KANDHAR</t>
  </si>
  <si>
    <t>OPP B M C BANK NANDEDKANDHAR MAHARASHTRA</t>
  </si>
  <si>
    <t>RAJESH KRISHNARAO WAGHMARE</t>
  </si>
  <si>
    <t>NAIK ROAD</t>
  </si>
  <si>
    <t>MAHAL</t>
  </si>
  <si>
    <t>AVINASH SHANKARRAO KENE</t>
  </si>
  <si>
    <t>106 NEHRU BAZAR</t>
  </si>
  <si>
    <t>NEHARU NAGAR</t>
  </si>
  <si>
    <t>KATOL</t>
  </si>
  <si>
    <t>GONDIA</t>
  </si>
  <si>
    <t>AJAYKUMARNATTHULAL NATTHULAL AGRAWAL</t>
  </si>
  <si>
    <t>GIRLS COLLAGE ROAD</t>
  </si>
  <si>
    <t>PRATAP WARD</t>
  </si>
  <si>
    <t>RAMESH RAMBHAU BHANDARKAR</t>
  </si>
  <si>
    <t>NEW MHADA COLONY</t>
  </si>
  <si>
    <t>ARVIND ANNAJI INGOLE</t>
  </si>
  <si>
    <t>RANIBAI AGNIHOTRI BPED COLLEGE</t>
  </si>
  <si>
    <t>SINDHI MEGHE</t>
  </si>
  <si>
    <t>WARDHAMAHARASHTRA</t>
  </si>
  <si>
    <t>RAHUL MANDHANIYA</t>
  </si>
  <si>
    <t>C/O MANDHANIYA HOSPITAL GANDHI WARD</t>
  </si>
  <si>
    <t>HINGANGHAT GANDHI WARD NR KOTHARI BH</t>
  </si>
  <si>
    <t>AVANWARDHA MAHARASHTRA</t>
  </si>
  <si>
    <t>RENUKA P POHANKAR</t>
  </si>
  <si>
    <t>OPPO MESHRAM MISTRY</t>
  </si>
  <si>
    <t>GURUDWARA ROAD</t>
  </si>
  <si>
    <t>D G TUKUM</t>
  </si>
  <si>
    <t>ARSADALI USMANALI SAYED</t>
  </si>
  <si>
    <t>(R) SANTOSHI MATA WARD 240935</t>
  </si>
  <si>
    <t>KARWA ROAD</t>
  </si>
  <si>
    <t>BALLARPUR</t>
  </si>
  <si>
    <t>ASHISH MURLIDHAR AHUJA</t>
  </si>
  <si>
    <t>SINDHI CAMP</t>
  </si>
  <si>
    <t>KACCHI KHOLI AKOLA</t>
  </si>
  <si>
    <t>DIST - AKOLA</t>
  </si>
  <si>
    <t>PRERNA PARAG SHAH</t>
  </si>
  <si>
    <t>BHARAT NIKETAN,</t>
  </si>
  <si>
    <t>ALSI PLOTS,</t>
  </si>
  <si>
    <t>VINAY BAPURAO NICHAL</t>
  </si>
  <si>
    <t>RIDDHI-SIDDHI APARTMENT,</t>
  </si>
  <si>
    <t>FLAT NO. 8,</t>
  </si>
  <si>
    <t>SUDHIR COLONY,</t>
  </si>
  <si>
    <t>LILADHAR IYDANJI KELA</t>
  </si>
  <si>
    <t>CHITRAKOOT,</t>
  </si>
  <si>
    <t>RAMNAGAR,</t>
  </si>
  <si>
    <t>SHASHI N MAHAJAN</t>
  </si>
  <si>
    <t>VANDANA APT NEAR SCHOOL NO 15</t>
  </si>
  <si>
    <t>NEW BHAGWAT PLOT</t>
  </si>
  <si>
    <t>SUDHAKAR PRALHADRAO KADALE [ HUF ]</t>
  </si>
  <si>
    <t>"SAHEEL",</t>
  </si>
  <si>
    <t>OPPOSITE SIDDHESHWAR GANPATI,</t>
  </si>
  <si>
    <t>SHASTRI NAGAR,</t>
  </si>
  <si>
    <t>MUKESH VITHALDAS CHANDAK</t>
  </si>
  <si>
    <t>GANDHI CHOWK, CHUNA PURA,</t>
  </si>
  <si>
    <t>KARANJA LAD, WASHIM</t>
  </si>
  <si>
    <t>WASHIM / KARANJA</t>
  </si>
  <si>
    <t>JAYARAMBABA NAGAR,</t>
  </si>
  <si>
    <t>A-3, MAMATA APT.,</t>
  </si>
  <si>
    <t>RAJAPETH,</t>
  </si>
  <si>
    <t>NITESH GIRDHARILAL LALWANI</t>
  </si>
  <si>
    <t>AT OLD COTTON MARKET</t>
  </si>
  <si>
    <t>SANDHYA ASHWAIN TAPAR</t>
  </si>
  <si>
    <t>KHAPARDE BAGICHA SHIVRAJ</t>
  </si>
  <si>
    <t>APPT FLAT NO 205</t>
  </si>
  <si>
    <t>NARENDRA MANOHARPRASAD TIWARI</t>
  </si>
  <si>
    <t>25 SHREYAS COLONY</t>
  </si>
  <si>
    <t>KATHORA NAKA V.M.V.ROAD</t>
  </si>
  <si>
    <t>Amravati</t>
  </si>
  <si>
    <t>USHA VASANTRAO MODAK</t>
  </si>
  <si>
    <t>RUKHMINI NAGAR</t>
  </si>
  <si>
    <t>SUDESH BHAGWANDAS SAHU</t>
  </si>
  <si>
    <t>DESHPANDE WADI</t>
  </si>
  <si>
    <t>SHARDA NAGAR</t>
  </si>
  <si>
    <t>DIVAKAR TULSIRAM CHAFLE</t>
  </si>
  <si>
    <t>SHANTI</t>
  </si>
  <si>
    <t>KISHOR NAGAR</t>
  </si>
  <si>
    <t>SHINTI CLINIC</t>
  </si>
  <si>
    <t>AMARAVATI</t>
  </si>
  <si>
    <t>RAVINDRA KAPASE</t>
  </si>
  <si>
    <t>NEAR RAMJIBABA MANDIR</t>
  </si>
  <si>
    <t>NAGDIVE SACHIN VISHWANATH</t>
  </si>
  <si>
    <t>ZILLA PARISHAD COLONY</t>
  </si>
  <si>
    <t>GADAM NAGAR</t>
  </si>
  <si>
    <t>YAVATMAL</t>
  </si>
  <si>
    <t>DEEPAK SUDAMRAO THAKARE</t>
  </si>
  <si>
    <t>BHAGYODAY</t>
  </si>
  <si>
    <t>SOCITY RAM NAGAR</t>
  </si>
  <si>
    <t>DHARAMDAS CHHATUMAL RATNANI</t>
  </si>
  <si>
    <t>ANAND WIRE &amp; CABLE INDUSTRIES</t>
  </si>
  <si>
    <t>SINGANIYA NAGAR</t>
  </si>
  <si>
    <t>PRABHAKAR SHRIRAMRAO BANDEWAR</t>
  </si>
  <si>
    <t>21 PUSAD CITY WARD 22</t>
  </si>
  <si>
    <t>GYANESHWAR NAGAR TAL PUSAD</t>
  </si>
  <si>
    <t>DIST YAVATMAL</t>
  </si>
  <si>
    <t>PUSAD</t>
  </si>
  <si>
    <t>AMOL DILIPRAO KULKARNI</t>
  </si>
  <si>
    <t>CHAITANYATARA</t>
  </si>
  <si>
    <t>DESHMUKHWADI WADI ROAD WANI</t>
  </si>
  <si>
    <t>YEOTMALMAHARASHTRA</t>
  </si>
  <si>
    <t>KHANDWA</t>
  </si>
  <si>
    <t>SANDEEP SHRIRANGE</t>
  </si>
  <si>
    <t>QTR NO B-14,</t>
  </si>
  <si>
    <t>POWER GRID TOWNSHIP,</t>
  </si>
  <si>
    <t>HARSOD ROAD,</t>
  </si>
  <si>
    <t>ATUL JAIN</t>
  </si>
  <si>
    <t>408 KALANI NAGAR</t>
  </si>
  <si>
    <t>AERODROME ROAD</t>
  </si>
  <si>
    <t>JAIN SWETAMBER TEMPLE</t>
  </si>
  <si>
    <t>NAIMA ASHKIWALA</t>
  </si>
  <si>
    <t>HOUSE NO. 84</t>
  </si>
  <si>
    <t>SCHEME NO.102</t>
  </si>
  <si>
    <t>BEHIND MALIK NURSING HOME,</t>
  </si>
  <si>
    <t>AMIT KUMAR SINGI</t>
  </si>
  <si>
    <t>45,GUMASHTA NAGAR,</t>
  </si>
  <si>
    <t>INDORE (M.P.)</t>
  </si>
  <si>
    <t>RANVIR SINGH OJLA</t>
  </si>
  <si>
    <t>334, LIG Jawahar Nagar</t>
  </si>
  <si>
    <t>Dewas</t>
  </si>
  <si>
    <t>SURESH CHANDRA PARWAL</t>
  </si>
  <si>
    <t>9 UJJAIN ROAD DEWAS</t>
  </si>
  <si>
    <t>MADHYA PRADESHINDIA</t>
  </si>
  <si>
    <t>ANJALI POL</t>
  </si>
  <si>
    <t>367,E W S</t>
  </si>
  <si>
    <t>MUKHARJEE NAGAR</t>
  </si>
  <si>
    <t>Ravi Gangwani</t>
  </si>
  <si>
    <t>157- C, Sindhi Colony</t>
  </si>
  <si>
    <t>Ujjain</t>
  </si>
  <si>
    <t>PUNIT SHAH</t>
  </si>
  <si>
    <t>H NO 34/2</t>
  </si>
  <si>
    <t>DADABHAI NOROJEE MARG</t>
  </si>
  <si>
    <t>HITENDRA SIKARWAR</t>
  </si>
  <si>
    <t>80, SETHI NAGAR,</t>
  </si>
  <si>
    <t>RATLAM</t>
  </si>
  <si>
    <t>RAMESH CHANDRA JAIN</t>
  </si>
  <si>
    <t>B/137, ALKAPURI,</t>
  </si>
  <si>
    <t>RATLAM (M.P.)</t>
  </si>
  <si>
    <t>SALONI JAIN</t>
  </si>
  <si>
    <t>H NO-16</t>
  </si>
  <si>
    <t>RAMDEV JI KI GHATI</t>
  </si>
  <si>
    <t>PRATIBHA PALRECHA</t>
  </si>
  <si>
    <t>RAMADEVAJEE KEE GHATEE</t>
  </si>
  <si>
    <t>HOSHANGABAD</t>
  </si>
  <si>
    <t>GEETA SHARMA</t>
  </si>
  <si>
    <t>QRT NO.440 B</t>
  </si>
  <si>
    <t>NEAR MIC ROW TOWER</t>
  </si>
  <si>
    <t>ITARSI</t>
  </si>
  <si>
    <t>DINESH MOHTA</t>
  </si>
  <si>
    <t>WARD 17, RAJENDRA WARD</t>
  </si>
  <si>
    <t>ANAND BAG</t>
  </si>
  <si>
    <t>HOSHANGABAD, PIPARIYA</t>
  </si>
  <si>
    <t>SANGEETA SHRIVASTAVA</t>
  </si>
  <si>
    <t>H NO.C/55</t>
  </si>
  <si>
    <t>BIJILI NAGAR COLONY</t>
  </si>
  <si>
    <t>GOVINDPURABHOPAL</t>
  </si>
  <si>
    <t>ASHOK KUMAR SHRIVASTAVA</t>
  </si>
  <si>
    <t>FLAT NO.112 D VAISHALI</t>
  </si>
  <si>
    <t>BUILDING SURENDRA PALACE</t>
  </si>
  <si>
    <t>UTKARSH AGRAWAL</t>
  </si>
  <si>
    <t>33Kotra Sultanabad Vaishali Nagar Kotra Sultanabad</t>
  </si>
  <si>
    <t>Kotra Sultanabad Kotra Sultanabad</t>
  </si>
  <si>
    <t>GAJARA DEVI JAIN</t>
  </si>
  <si>
    <t>A-505 MANSAROVAR COLONY</t>
  </si>
  <si>
    <t>SHAHPURA</t>
  </si>
  <si>
    <t>VIDISHA</t>
  </si>
  <si>
    <t>RAHUL RAWAT</t>
  </si>
  <si>
    <t>HAZI WALI TALAB</t>
  </si>
  <si>
    <t>DURGA NAGAR</t>
  </si>
  <si>
    <t>DINESH KUMAR VERMA</t>
  </si>
  <si>
    <t>WARD NO.4, INGLISHPURA,</t>
  </si>
  <si>
    <t>SEHORE (M.P.)</t>
  </si>
  <si>
    <t>SAGAR</t>
  </si>
  <si>
    <t>DEEPAK KUMAR CHOUKSEY</t>
  </si>
  <si>
    <t>SAUGOR</t>
  </si>
  <si>
    <t>SAFALTA THAKUR</t>
  </si>
  <si>
    <t>PRADHAN BHAWAN</t>
  </si>
  <si>
    <t>SHANKAGARH</t>
  </si>
  <si>
    <t>JEETENDRA JAIN</t>
  </si>
  <si>
    <t>SADHYA GARMENTS RAJNAGAR</t>
  </si>
  <si>
    <t>TEH RAJNAGAR</t>
  </si>
  <si>
    <t>DIST CHHATARPUR</t>
  </si>
  <si>
    <t>DEBASHIS ROY CHOWDHURY</t>
  </si>
  <si>
    <t>D -5 NFL TOWNSHIP</t>
  </si>
  <si>
    <t>PO VIJAIPUR</t>
  </si>
  <si>
    <t>PRAKASH CHAND KHATUJA</t>
  </si>
  <si>
    <t>120 SAMADHIYA COLONY</t>
  </si>
  <si>
    <t>TARAGANJ</t>
  </si>
  <si>
    <t>LASHKAR</t>
  </si>
  <si>
    <t>S. KANNAN</t>
  </si>
  <si>
    <t>B-1, RADIO COLONY,</t>
  </si>
  <si>
    <t>GANDHI ROAD,</t>
  </si>
  <si>
    <t>GWALIOR (M.P.)</t>
  </si>
  <si>
    <t>BALAGHAT</t>
  </si>
  <si>
    <t>SHUBHAM CHOURDIA</t>
  </si>
  <si>
    <t>WARD NO 20</t>
  </si>
  <si>
    <t>RAJGHAT CHOWK</t>
  </si>
  <si>
    <t>ANIL KUMAR SINGH</t>
  </si>
  <si>
    <t>562 KANCHAN VIHAR</t>
  </si>
  <si>
    <t>VIJAY NAGAR</t>
  </si>
  <si>
    <t>JABALPURMADHYAPRADESH</t>
  </si>
  <si>
    <t>VIRAG JAIN</t>
  </si>
  <si>
    <t>702,</t>
  </si>
  <si>
    <t>JAIN TELECOM CENTER,</t>
  </si>
  <si>
    <t>PHOOTATAL,</t>
  </si>
  <si>
    <t>VINAY KUMAR KANOUJIYA</t>
  </si>
  <si>
    <t>SO RAM BAHADUR KUSHWAHA</t>
  </si>
  <si>
    <t>BADKHAR WARD NO 12</t>
  </si>
  <si>
    <t>ALOK PRAKASH SAPRE</t>
  </si>
  <si>
    <t>QUARTER NO F 21</t>
  </si>
  <si>
    <t>STAFF COLONY MAIHAR CEMENT</t>
  </si>
  <si>
    <t>SARLANAGAR</t>
  </si>
  <si>
    <t>AJAY KUMAR NIGAM</t>
  </si>
  <si>
    <t>16/562,</t>
  </si>
  <si>
    <t>HEERA LAL COLONY</t>
  </si>
  <si>
    <t>AMAHIYAREWA MP</t>
  </si>
  <si>
    <t>ANITA PANDEY</t>
  </si>
  <si>
    <t>19/171 BEHIND GUPTA LODGE</t>
  </si>
  <si>
    <t>NEAR CONGRESS BHAVAN</t>
  </si>
  <si>
    <t>GHOGHAR</t>
  </si>
  <si>
    <t>MANOJ KUMAR DUBEY</t>
  </si>
  <si>
    <t>B 177</t>
  </si>
  <si>
    <t>NCL NIGAHI PROJECT</t>
  </si>
  <si>
    <t>NIGAHI</t>
  </si>
  <si>
    <t>BASANT KUMAR SAHU</t>
  </si>
  <si>
    <t>QR. NO. -8/C</t>
  </si>
  <si>
    <t>M POCKET</t>
  </si>
  <si>
    <t>MARODA SECTOR</t>
  </si>
  <si>
    <t>RAVI CHAKRAVARTY</t>
  </si>
  <si>
    <t>QTR-1/C</t>
  </si>
  <si>
    <t>STREET-28,SECTOR-5</t>
  </si>
  <si>
    <t>SUBHASH MADHUKAR KANHE</t>
  </si>
  <si>
    <t>63/05 NEHRU NAGAR(W)</t>
  </si>
  <si>
    <t>CG</t>
  </si>
  <si>
    <t>DEEPTI KHANDWE</t>
  </si>
  <si>
    <t>H NO 808</t>
  </si>
  <si>
    <t>MUKTA NAGAR</t>
  </si>
  <si>
    <t>PADMANABHPUR</t>
  </si>
  <si>
    <t>PRAMOD JAIN</t>
  </si>
  <si>
    <t>NEW BUS STAND</t>
  </si>
  <si>
    <t>MPHB COMPLEX DURG</t>
  </si>
  <si>
    <t>MOLLAVNAITH PARMESHWARAN SUDHIR</t>
  </si>
  <si>
    <t>H NO-195/1 TOWNSHIP WARD NO-3</t>
  </si>
  <si>
    <t>TEH-BALOD DISTT-DURG</t>
  </si>
  <si>
    <t>DALLI RAJHARA</t>
  </si>
  <si>
    <t>RAJNANDGAON</t>
  </si>
  <si>
    <t>RAVI SHRIVASTAVA</t>
  </si>
  <si>
    <t>VIJAY NIWAS,WARD NO-22</t>
  </si>
  <si>
    <t>DIWAN PARA</t>
  </si>
  <si>
    <t>SAROJ JAIN</t>
  </si>
  <si>
    <t>C/O CHHATTISGARH BEARING AGENCIES</t>
  </si>
  <si>
    <t>14 LAL GANGA APT</t>
  </si>
  <si>
    <t>PATWA COMPLEXK K ROAD RAIPUR</t>
  </si>
  <si>
    <t>DR NIRMITA DUBEY</t>
  </si>
  <si>
    <t>H.NO.9, SBI COLONY</t>
  </si>
  <si>
    <t>SUNDER NAGAR</t>
  </si>
  <si>
    <t>ROHIT SINGH BAGHEL</t>
  </si>
  <si>
    <t>H NO M 19 RAJIV NAGAR RAIPUR</t>
  </si>
  <si>
    <t>SANTOSH DEVI MALL</t>
  </si>
  <si>
    <t>HOUSE NO. C-10</t>
  </si>
  <si>
    <t>DHEBAR PINK CITY,</t>
  </si>
  <si>
    <t>NEAR JAGANNATH MANDIR, SHANKAR NAGAR, RAIPUR</t>
  </si>
  <si>
    <t>MOHAN LAL VERMA</t>
  </si>
  <si>
    <t>BALODA BAZAR</t>
  </si>
  <si>
    <t>FAROOQUE AHMED ANSARI</t>
  </si>
  <si>
    <t>WARD NO-32</t>
  </si>
  <si>
    <t>NEAR REGINAL HOSPITAL GODRIPARA</t>
  </si>
  <si>
    <t>CHIRIMIRI DIST-KOREAKOREA</t>
  </si>
  <si>
    <t>NEELESH CHATURVEDI</t>
  </si>
  <si>
    <t>BAJAJ ALLIANZ LIFE INSURANCE C</t>
  </si>
  <si>
    <t>BISIDE SAMID PARK</t>
  </si>
  <si>
    <t>SUBHASH CHOWK</t>
  </si>
  <si>
    <t>JAGDALPUR</t>
  </si>
  <si>
    <t>VINAY KUMAR TRIPATHI</t>
  </si>
  <si>
    <t>SECL BILASPUR BEHIND CITY</t>
  </si>
  <si>
    <t>BILASPUR CHHATTISGARHINDIA</t>
  </si>
  <si>
    <t>HARI SHANKAR TAMRKAR</t>
  </si>
  <si>
    <t>RATANPUR</t>
  </si>
  <si>
    <t>BILASPUR CHATISHGARH</t>
  </si>
  <si>
    <t>DEEPAK KUMAR GOYAL</t>
  </si>
  <si>
    <t>house no-5/427 om garden nehru nagar</t>
  </si>
  <si>
    <t>gandhi nagar</t>
  </si>
  <si>
    <t>SANJEEV KUMAR PAUL</t>
  </si>
  <si>
    <t>H NO 15</t>
  </si>
  <si>
    <t>NEAR AGRAWAL GUDAKHU FACTORY</t>
  </si>
  <si>
    <t>HEMUNAGARBILASPUR</t>
  </si>
  <si>
    <t>CHANDRA MOHAN AGRAWAL</t>
  </si>
  <si>
    <t>MANGLI BAZAR GAURELLA</t>
  </si>
  <si>
    <t>DIST-BILASPUR PENDRA ROAD</t>
  </si>
  <si>
    <t>PRATYUSH DEEPAK RACHELWAR</t>
  </si>
  <si>
    <t>PURANA SARKANDA</t>
  </si>
  <si>
    <t>NEAR SHIVGHAT KONI ROAD</t>
  </si>
  <si>
    <t>MANASH KUMAR MITRA</t>
  </si>
  <si>
    <t>D - 2 / 78 NTPC TOWN SHIP</t>
  </si>
  <si>
    <t>UJWAL NAGAR SIPAT</t>
  </si>
  <si>
    <t>Bilaspur</t>
  </si>
  <si>
    <t>VINEETA MANWANI</t>
  </si>
  <si>
    <t>PLOT NO 60</t>
  </si>
  <si>
    <t>KOSABADI</t>
  </si>
  <si>
    <t>BEHIND MAIN POST OFFICEKORBA</t>
  </si>
  <si>
    <t>RAMESH SHARMA</t>
  </si>
  <si>
    <t>NF-72,HILL VIEW COLONY</t>
  </si>
  <si>
    <t>JINDAL STEEL &amp; POWER LTD.</t>
  </si>
  <si>
    <t>SIRIPURAPU MURALIDHAR</t>
  </si>
  <si>
    <t>302 B SAI MURALI APARTMENTS</t>
  </si>
  <si>
    <t>STREET NO 8</t>
  </si>
  <si>
    <t>HABSIGUDAHYDERABAD</t>
  </si>
  <si>
    <t>JENNIFER MAHINDRA D</t>
  </si>
  <si>
    <t>2 4 46 WD DINESH KUMAR MAHINDRA</t>
  </si>
  <si>
    <t>KUMMARI GUTTA</t>
  </si>
  <si>
    <t>KUMMARI GUTTA CHANDULAL BOWLI</t>
  </si>
  <si>
    <t>BUKKA MURALI KRISHNA</t>
  </si>
  <si>
    <t>P NO 9</t>
  </si>
  <si>
    <t>ANAND NAGAR COLONY</t>
  </si>
  <si>
    <t>NEW BOWENPALLY SECUNDERABAD</t>
  </si>
  <si>
    <t>V AJAY KUMAR</t>
  </si>
  <si>
    <t>PLOT NO 15</t>
  </si>
  <si>
    <t>SECUNDERABADANDHRA PRADESH</t>
  </si>
  <si>
    <t>JELDY NARSINGH LAKSHMAN RAO</t>
  </si>
  <si>
    <t>H NO 18-5/1 SRI RAMNAGAR COLONY</t>
  </si>
  <si>
    <t>VENKATAPURAM</t>
  </si>
  <si>
    <t>ALWAL THIRMULGHERRY POSECUNDERABAD</t>
  </si>
  <si>
    <t>MUKESH KUMAR BAPNA</t>
  </si>
  <si>
    <t>H.NO:7-1-50/2/202</t>
  </si>
  <si>
    <t>D.K.ROAD</t>
  </si>
  <si>
    <t>AMEERPET</t>
  </si>
  <si>
    <t>KONDUR ANIL</t>
  </si>
  <si>
    <t>H NO 12-13-829/86/1</t>
  </si>
  <si>
    <t>SHIRDI SAI NAGAR</t>
  </si>
  <si>
    <t>KIMTEE COLON TARNAKA</t>
  </si>
  <si>
    <t>SUNIL SHARMA</t>
  </si>
  <si>
    <t>H NO 10-2-318/97/1</t>
  </si>
  <si>
    <t>VIJAYANAGAR COLONY</t>
  </si>
  <si>
    <t>KALIDASU MADHAVI PRASAD</t>
  </si>
  <si>
    <t>12-2-827/10</t>
  </si>
  <si>
    <t>KANTHI NAGAR COLONY</t>
  </si>
  <si>
    <t>MEHIDIPATNAMHYDERABAD</t>
  </si>
  <si>
    <t>SAROJ MITTAL</t>
  </si>
  <si>
    <t>1-2-288/32,</t>
  </si>
  <si>
    <t>SBH COLONY,</t>
  </si>
  <si>
    <t>GAGAN MAHAL ROAD, DOMALGUDA,HYDERABAD</t>
  </si>
  <si>
    <t>MANIKYA NIRMALA</t>
  </si>
  <si>
    <t>16/10/27/73 QRT NO 60/2 RT</t>
  </si>
  <si>
    <t>MUNCIPAL COLONY MALAKPET</t>
  </si>
  <si>
    <t>HYDERABADANDHRA PRADESH</t>
  </si>
  <si>
    <t>DAVID JISHAL .</t>
  </si>
  <si>
    <t>13-82/4/20 FLAT NO 301 SRAVANI</t>
  </si>
  <si>
    <t>APTS YADAV NAGAR</t>
  </si>
  <si>
    <t>MALKJGIRI</t>
  </si>
  <si>
    <t>SUSHEELA DEVI KEDIA</t>
  </si>
  <si>
    <t>4 6 170 5 PLOT NO 12</t>
  </si>
  <si>
    <t>SHIVAJI NAGAR ATTAPUR</t>
  </si>
  <si>
    <t>K V RANGAREDDY</t>
  </si>
  <si>
    <t>RAMI REDDY KAKARLA</t>
  </si>
  <si>
    <t>16/2/751/A/86/1 SRI LAKSHMI NILAYAM</t>
  </si>
  <si>
    <t>IIND FLOOR KARANBAGH SAIDABAD COLONY</t>
  </si>
  <si>
    <t>T SRINIVASA RAO</t>
  </si>
  <si>
    <t>MIG-A-133,DR.A.S.RAO NAGAR,</t>
  </si>
  <si>
    <t>ECIL POST,</t>
  </si>
  <si>
    <t>HYDERABAD,ANDHRA PRADESH</t>
  </si>
  <si>
    <t>SREENIVASULA REDDY DODDAMREDDY</t>
  </si>
  <si>
    <t>FLAT NO 201 PLOT NO 99 ROAD NO 20</t>
  </si>
  <si>
    <t>LAKSHMI S PRESTIGE SARDAR PATEL</t>
  </si>
  <si>
    <t>NAGAR BESIDES JNTU KUKATPALLYHYDERABAD TELANGANA</t>
  </si>
  <si>
    <t>VENKATESHWAR LYAKAJI</t>
  </si>
  <si>
    <t>497 LAXMI GANAPATHI NAGAR</t>
  </si>
  <si>
    <t>OPP GRAM PANCHAYATHI</t>
  </si>
  <si>
    <t>SURYA PRAKASH A</t>
  </si>
  <si>
    <t>2-108</t>
  </si>
  <si>
    <t>MORTHAD</t>
  </si>
  <si>
    <t>SRISHWINTH GADDI</t>
  </si>
  <si>
    <t>63416 MAMIDIPALLY</t>
  </si>
  <si>
    <t>MAMIDIPALLE</t>
  </si>
  <si>
    <t>GHONGADE SUBHASH .</t>
  </si>
  <si>
    <t>HASANTAKLI POST LIMBOOR</t>
  </si>
  <si>
    <t>MANDAL MADNOOR</t>
  </si>
  <si>
    <t>NEAR HANUMAN MANDIR LINGAYATWA</t>
  </si>
  <si>
    <t>MAHAVEER RAMELLI</t>
  </si>
  <si>
    <t>1-3-19, H B COLONY</t>
  </si>
  <si>
    <t>H B COLONY</t>
  </si>
  <si>
    <t>WARD-1ADILABAD</t>
  </si>
  <si>
    <t>SRINIVAS GUJJA</t>
  </si>
  <si>
    <t>H NO 13 1 26 1</t>
  </si>
  <si>
    <t>BABU CAMP</t>
  </si>
  <si>
    <t>WARD NO 13</t>
  </si>
  <si>
    <t>ASARI VENKATESHAM</t>
  </si>
  <si>
    <t>HNO 9 6 105</t>
  </si>
  <si>
    <t>THUKKARAO PALLY</t>
  </si>
  <si>
    <t>SIRCILLAKARIMNAGAR</t>
  </si>
  <si>
    <t>MOHAMMAD SAJID AHMED</t>
  </si>
  <si>
    <t>1-1-425 PRAGATHI CLINIC</t>
  </si>
  <si>
    <t>NEW BUS STAND KORUTLA</t>
  </si>
  <si>
    <t>KORATLA MNDLDIST - KARIMNAGAR</t>
  </si>
  <si>
    <t>MULKA SATHAIAH</t>
  </si>
  <si>
    <t>H NO 1-21 VILL KISTAMPET</t>
  </si>
  <si>
    <t>POST ALLIPOOR</t>
  </si>
  <si>
    <t>MDC RAIKAL</t>
  </si>
  <si>
    <t>BADDAM ANJAIAH</t>
  </si>
  <si>
    <t>HOUSE NO-8-90,</t>
  </si>
  <si>
    <t>VEMPET, METPALLY,</t>
  </si>
  <si>
    <t>JAGTIAL</t>
  </si>
  <si>
    <t>PRAMOD AKULA .</t>
  </si>
  <si>
    <t>H NO 1-51/A</t>
  </si>
  <si>
    <t>LATHHUNOOR LOTHUNUR</t>
  </si>
  <si>
    <t>SIRKONDA</t>
  </si>
  <si>
    <t>MUCHINTALA PRASADRAO</t>
  </si>
  <si>
    <t>HOUSE NO 3 - 73 / 1</t>
  </si>
  <si>
    <t>MUTHARAM</t>
  </si>
  <si>
    <t>Warangal</t>
  </si>
  <si>
    <t>REDDY JYOTHI</t>
  </si>
  <si>
    <t>PASRANAGARAM</t>
  </si>
  <si>
    <t>GOVINDARAOPET</t>
  </si>
  <si>
    <t>NARAYANA RAO DESHETTI</t>
  </si>
  <si>
    <t>2 7 1076</t>
  </si>
  <si>
    <t>WADDEPALLY</t>
  </si>
  <si>
    <t>KANAKA DURGA COLONY WARD 2WARANGAL</t>
  </si>
  <si>
    <t>VENKATA RATNAM VELPULA</t>
  </si>
  <si>
    <t>H NO 11-6-151</t>
  </si>
  <si>
    <t>NEHRU NAGAR</t>
  </si>
  <si>
    <t>SRINIVASARAO A</t>
  </si>
  <si>
    <t>SBH BACK SIDE</t>
  </si>
  <si>
    <t>ASWAPURAM</t>
  </si>
  <si>
    <t>NAVEEN KUMAR MURARISHETTY</t>
  </si>
  <si>
    <t>MANAGING PARTENER DWARAKA CF</t>
  </si>
  <si>
    <t>H NO 6-4-130/2</t>
  </si>
  <si>
    <t>OPP NG COLLEGE</t>
  </si>
  <si>
    <t>B SHANKARAIH</t>
  </si>
  <si>
    <t>HNO 19-175</t>
  </si>
  <si>
    <t>MUTHI REDDY KUNTA</t>
  </si>
  <si>
    <t>MIRYALGUDA</t>
  </si>
  <si>
    <t>DONTHA GOVERDHAN</t>
  </si>
  <si>
    <t>H NO 1-6-141/8/2 VIDYA NAGAR</t>
  </si>
  <si>
    <t>SURYAPET</t>
  </si>
  <si>
    <t>DEVI BENGALI SRI</t>
  </si>
  <si>
    <t>1-3-518A</t>
  </si>
  <si>
    <t>RANGASWAMI NAGAR</t>
  </si>
  <si>
    <t>KALYAN BYSANI</t>
  </si>
  <si>
    <t>NO 4/14</t>
  </si>
  <si>
    <t>GANDHI BAZAR</t>
  </si>
  <si>
    <t>ANANTAPUR,ANANTAPUR</t>
  </si>
  <si>
    <t>AMBEKAR KAVITHABAI .</t>
  </si>
  <si>
    <t>D NO 9-1289</t>
  </si>
  <si>
    <t>NAYAR PANCHAYAT OFFICE</t>
  </si>
  <si>
    <t>GOOTV</t>
  </si>
  <si>
    <t>PAPULU SREELATHA</t>
  </si>
  <si>
    <t>D. NO. 15/115 ,</t>
  </si>
  <si>
    <t>SBI COLONY ,</t>
  </si>
  <si>
    <t>DHARMAVARAM ,</t>
  </si>
  <si>
    <t>DHARMAVARAM</t>
  </si>
  <si>
    <t>KALAVALA SRILAKSHMI</t>
  </si>
  <si>
    <t>H.NO.10-463,</t>
  </si>
  <si>
    <t>BURUJU STREET,</t>
  </si>
  <si>
    <t>DHARAMAVARAM</t>
  </si>
  <si>
    <t>K BALARAJU</t>
  </si>
  <si>
    <t>S/O KURUBA RAMANJINEYULU</t>
  </si>
  <si>
    <t>1-62 BYADRAHALLI</t>
  </si>
  <si>
    <t>KALYANADHURGAM</t>
  </si>
  <si>
    <t>RAMA GOPAL GUDUGUNTALA</t>
  </si>
  <si>
    <t>D.NO. 17-1336/1/A</t>
  </si>
  <si>
    <t>GOOTY ROAD</t>
  </si>
  <si>
    <t>GUNTAKAL</t>
  </si>
  <si>
    <t>M VENKATRAMI REDDY</t>
  </si>
  <si>
    <t>H NO 4/507</t>
  </si>
  <si>
    <t>BAPUJI ROAD</t>
  </si>
  <si>
    <t>Y S NAGARKADAPA</t>
  </si>
  <si>
    <t>SITHA RAMAIAH A</t>
  </si>
  <si>
    <t>5/498</t>
  </si>
  <si>
    <t>MUNI RAO STREET</t>
  </si>
  <si>
    <t>TONDALADINNE . SRIDEVI</t>
  </si>
  <si>
    <t>H NO 7/722-3</t>
  </si>
  <si>
    <t>M.J.KUNTA</t>
  </si>
  <si>
    <t>KADAPAKADAPA</t>
  </si>
  <si>
    <t>SUBBA RAO A</t>
  </si>
  <si>
    <t>DOOR NO 279-1</t>
  </si>
  <si>
    <t>WARD NO 6RAJAMPET</t>
  </si>
  <si>
    <t>A SUBBA RAO</t>
  </si>
  <si>
    <t>DOOR NO 6/279-1 BALAJI NAGAR</t>
  </si>
  <si>
    <t>RAJMPETA KADAPA</t>
  </si>
  <si>
    <t>RAJAMPET ANDHRA PRADESH</t>
  </si>
  <si>
    <t>CHILEKAMPALLI YAMINI</t>
  </si>
  <si>
    <t>NO 7/826</t>
  </si>
  <si>
    <t>SARASWATHI VIDHYA MANDIR ROAD</t>
  </si>
  <si>
    <t>Y MR COLONY</t>
  </si>
  <si>
    <t>PRODDATUR</t>
  </si>
  <si>
    <t>G SRINIVASULU</t>
  </si>
  <si>
    <t>H NO 26/41/2-UP</t>
  </si>
  <si>
    <t>VASANTHAPETA</t>
  </si>
  <si>
    <t>PRODDATURKADAPA DIST</t>
  </si>
  <si>
    <t>PALLA LAKSHMI NARAYANA</t>
  </si>
  <si>
    <t>19-149-B JAMMALAMADUGU</t>
  </si>
  <si>
    <t>19/95/250 JAMMALAMADUGU</t>
  </si>
  <si>
    <t>JAMMALAMADUGU</t>
  </si>
  <si>
    <t>MANIYAM VAMSI</t>
  </si>
  <si>
    <t>D NO,22-149/3, MALLIKARJUNA COLONY</t>
  </si>
  <si>
    <t>KATTAMANCHI</t>
  </si>
  <si>
    <t>HOOTAGALLI</t>
  </si>
  <si>
    <t>THARIGONDA ANIL KUMAR</t>
  </si>
  <si>
    <t>2 93 BODEVARIPALLI EDIGA</t>
  </si>
  <si>
    <t>PALLI PUNGANUR CHITTOORANDHRA</t>
  </si>
  <si>
    <t>G CHANDRASEKHAR</t>
  </si>
  <si>
    <t>8 270 COURT RAMACHARI STREET</t>
  </si>
  <si>
    <t>MADANAPALLE</t>
  </si>
  <si>
    <t>RAJA KUMARI.R</t>
  </si>
  <si>
    <t>NO XV 116 8A</t>
  </si>
  <si>
    <t>SREE RAMAGOPAL NAIDU STREET</t>
  </si>
  <si>
    <t>MADANAPALLECHITTOOR</t>
  </si>
  <si>
    <t>MANIMALA K</t>
  </si>
  <si>
    <t>2-1-76/47</t>
  </si>
  <si>
    <t>CHINNA GUNTA</t>
  </si>
  <si>
    <t>KOLA STREET</t>
  </si>
  <si>
    <t>TIRUPATI</t>
  </si>
  <si>
    <t>C SUJATHA</t>
  </si>
  <si>
    <t>DNO18/1/620A</t>
  </si>
  <si>
    <t>I ST FLOOR</t>
  </si>
  <si>
    <t>BHAVANI NAGARTIRUPATI</t>
  </si>
  <si>
    <t>KOUNTHEYA REDDY.M</t>
  </si>
  <si>
    <t>FLAT NO.103, SAI MITHILA APARTMENTS</t>
  </si>
  <si>
    <t>VAIKUNTAPURAM</t>
  </si>
  <si>
    <t>TIRUPATI WESTTIRUPATI</t>
  </si>
  <si>
    <t>MD RAFIQ AHMED</t>
  </si>
  <si>
    <t>H NO 39-102</t>
  </si>
  <si>
    <t>VADDEGER PARK ROAD</t>
  </si>
  <si>
    <t>SIVA PRASAD H M</t>
  </si>
  <si>
    <t>HNO - 405</t>
  </si>
  <si>
    <t>MODEL APARTMENT HOUSE</t>
  </si>
  <si>
    <t>GAYATRI ESTATESKURNOOL</t>
  </si>
  <si>
    <t>PRABHAKAR MADRI</t>
  </si>
  <si>
    <t>HNO 76/119-D5-25</t>
  </si>
  <si>
    <t>MAHAVEER NAGAR BELLARY CHOWRAS</t>
  </si>
  <si>
    <t>KALLUR KALLURU</t>
  </si>
  <si>
    <t>BEENA TAWANIA</t>
  </si>
  <si>
    <t>D NO 9.62.44</t>
  </si>
  <si>
    <t>RAMANJANEYA RESIDENC</t>
  </si>
  <si>
    <t>2ND FLOOR, DRAIN STREETVIJAYAWADA</t>
  </si>
  <si>
    <t>D KANIYALAL</t>
  </si>
  <si>
    <t>9-62-44 RAMANJA NEYA RESIDENCY</t>
  </si>
  <si>
    <t>II ND FLOOR DRAIN STREET ONE</t>
  </si>
  <si>
    <t>TOWN</t>
  </si>
  <si>
    <t>SUMITRA SARASWAT .</t>
  </si>
  <si>
    <t>D NO 9-62-44 DRAIN STREET</t>
  </si>
  <si>
    <t>RAMAN JANEYA RESIDENCY</t>
  </si>
  <si>
    <t>SUVARNAKUMARI BATHULA</t>
  </si>
  <si>
    <t>306B K P TOWERS</t>
  </si>
  <si>
    <t>SEETHARAM PURAM</t>
  </si>
  <si>
    <t>VIJAYAWADAANDHRA PRADESH</t>
  </si>
  <si>
    <t>AKKINENI SRINIVASA CHAKRAVARTHI</t>
  </si>
  <si>
    <t>NEELISHETTY VARI STREET 4TH LINE</t>
  </si>
  <si>
    <t>D NO 48 11 6A CURRENCY NAGAR</t>
  </si>
  <si>
    <t>NALLAPATI RAMA KOTESWARA RAO</t>
  </si>
  <si>
    <t>17-175/1 ROAD NO-1</t>
  </si>
  <si>
    <t>BAGATH SINGH NAGAR</t>
  </si>
  <si>
    <t>YANAMALAKUDURUVIJAYAWADA</t>
  </si>
  <si>
    <t>MURALIDHAR BRUNDAVANAM</t>
  </si>
  <si>
    <t>13 56/A</t>
  </si>
  <si>
    <t>KANKIPADU</t>
  </si>
  <si>
    <t>RAMANATHSAI ANANTHANEENI</t>
  </si>
  <si>
    <t>D NO 493 GANDIGUNTA VUYYURU</t>
  </si>
  <si>
    <t>KRISHNA DIST</t>
  </si>
  <si>
    <t>VUYYURU</t>
  </si>
  <si>
    <t>MATURI DURGA PRASAD</t>
  </si>
  <si>
    <t>C/O M.V.S RAMARAO ,</t>
  </si>
  <si>
    <t>D.NO.2/189A ,</t>
  </si>
  <si>
    <t>DROMADULA VARI STREET,</t>
  </si>
  <si>
    <t>GUDIVADA</t>
  </si>
  <si>
    <t>RAMA KRISHNA PRASAD MANEPALLI</t>
  </si>
  <si>
    <t>NO 20-3-39</t>
  </si>
  <si>
    <t>UPPALAMANCHI VARI VEEDHI</t>
  </si>
  <si>
    <t>CHOWTHRA DOWNGUNTUR</t>
  </si>
  <si>
    <t>M V SATYANARAYANA</t>
  </si>
  <si>
    <t>D NO 24 26 87 2</t>
  </si>
  <si>
    <t>NALLACHERUVU</t>
  </si>
  <si>
    <t>15TH LINEGUNTUR</t>
  </si>
  <si>
    <t>KOTHA PADMAVATHI</t>
  </si>
  <si>
    <t>15-166/1-A, 15TH BLOCK</t>
  </si>
  <si>
    <t>NEMILIREDDY COLONY, WARD-15</t>
  </si>
  <si>
    <t>PIDUGURALLAGUNTUR DIST</t>
  </si>
  <si>
    <t>RAVI SHANKAR MADALA</t>
  </si>
  <si>
    <t>KOMMINENI MATTAIAH COMPLEX</t>
  </si>
  <si>
    <t>OLD COURT COMPLEX</t>
  </si>
  <si>
    <t>KOREMPUDI ROADGURAZALA POST AND MANDAL GUNTUR DIST</t>
  </si>
  <si>
    <t>THUMMALAPENTA PARIMALA DEVI</t>
  </si>
  <si>
    <t>D NO. 42-1-75</t>
  </si>
  <si>
    <t>THURPUPALEM</t>
  </si>
  <si>
    <t>CONDOOR RAJESH</t>
  </si>
  <si>
    <t>1ST FLOOR SAI SURYA TOWERS MARKET</t>
  </si>
  <si>
    <t>CENTRE PRAKASAN</t>
  </si>
  <si>
    <t>ONGOLE ANDHRA PRADESH</t>
  </si>
  <si>
    <t>NALLURI VEERAPRASADARAO .</t>
  </si>
  <si>
    <t>403, S R Resedency,MM RD</t>
  </si>
  <si>
    <t>NR Panchamuka anjaneyaswami</t>
  </si>
  <si>
    <t>Temple,Sundar Nagar</t>
  </si>
  <si>
    <t>BAPI REDDY GUDIBANDI</t>
  </si>
  <si>
    <t>5-101</t>
  </si>
  <si>
    <t>NUTHALAPADU</t>
  </si>
  <si>
    <t>PARCHOORPRAKASAM DIST AP</t>
  </si>
  <si>
    <t>VOLETI MADHUSUDHANA RAO</t>
  </si>
  <si>
    <t>D NO 7/127</t>
  </si>
  <si>
    <t>KANIGIRIPRAKASAM DIST</t>
  </si>
  <si>
    <t>RACHAPUTI LAKSHMI</t>
  </si>
  <si>
    <t>7/ 381</t>
  </si>
  <si>
    <t>GOPURAM STREET</t>
  </si>
  <si>
    <t>RANGNAYAKULAPETANELLORE</t>
  </si>
  <si>
    <t>PENCHALA PRASAD CHERUKURI</t>
  </si>
  <si>
    <t>NTR NAGAR</t>
  </si>
  <si>
    <t>ALAMKARAM SREENIVASULU</t>
  </si>
  <si>
    <t>HNO 1-75</t>
  </si>
  <si>
    <t>PADAMARA GUDUR</t>
  </si>
  <si>
    <t>GUDUR</t>
  </si>
  <si>
    <t>JHANSI RANI GOLLA</t>
  </si>
  <si>
    <t>D/O GOLLA WILSON 00 ANNAGARIPALEM</t>
  </si>
  <si>
    <t>KAVALI BIT</t>
  </si>
  <si>
    <t>SALMA BEGUM SHAIK</t>
  </si>
  <si>
    <t>W/O SUBHAN SAHEB</t>
  </si>
  <si>
    <t>PODALAKUR PONELLORE</t>
  </si>
  <si>
    <t>SUDHAKAR PVS</t>
  </si>
  <si>
    <t>27-13-11A 12843-A SPRING ROAD JAINU</t>
  </si>
  <si>
    <t>MANDIRAMU BACK SIDE NEAR POLICE STAD</t>
  </si>
  <si>
    <t>IUM VISAKHAPATNAM URBAN MAHARANIPETAVISAKHAPATNAM,ANDHRA PRADESH</t>
  </si>
  <si>
    <t>SRIVENKATESWARA SATYA VARA PRASAD THAMMINEEDI .</t>
  </si>
  <si>
    <t>49-54-6/17 RADHA KRISHNA NAGAR</t>
  </si>
  <si>
    <t>OPP VAISAKI PARADISE APTS EXTN</t>
  </si>
  <si>
    <t>BALAYYA SASTRY LAYOUT</t>
  </si>
  <si>
    <t>Y ANIL KUMAR</t>
  </si>
  <si>
    <t>DOOR NO 7-7-32</t>
  </si>
  <si>
    <t>KONDAPALLI VARI STREET</t>
  </si>
  <si>
    <t>ANAKAPALLI</t>
  </si>
  <si>
    <t>SAMBANGI JAGADEESWARA RAO</t>
  </si>
  <si>
    <t>DOOR NO 13-113, PLOT NO 64</t>
  </si>
  <si>
    <t>SATABDI NAGAR</t>
  </si>
  <si>
    <t>CHINAMUSHIDIVADAVISAKHAPATNAM</t>
  </si>
  <si>
    <t>JANGALA PRASADA RAO</t>
  </si>
  <si>
    <t>PLOT NO 45</t>
  </si>
  <si>
    <t>BANKER'S COLONY</t>
  </si>
  <si>
    <t>BEHIND DEEPA MAHALSRIKAKULAM</t>
  </si>
  <si>
    <t>SUBBAIAH MATHIYALAGAN</t>
  </si>
  <si>
    <t>KAKINADA</t>
  </si>
  <si>
    <t>N SIVA RAMAKRISHNA PRASAD</t>
  </si>
  <si>
    <t>D NO 7-7-24,</t>
  </si>
  <si>
    <t>PATTABHI STREET, RAMARAO PETA,</t>
  </si>
  <si>
    <t>KAKINADA,ANDHRA PRADESH</t>
  </si>
  <si>
    <t>S LEELA KUMARI</t>
  </si>
  <si>
    <t>8 10 14 15 KAMALADEVI STREET GANDHI</t>
  </si>
  <si>
    <t>KAKINADA ANDHRA PRADESH</t>
  </si>
  <si>
    <t>HEMA PRASAD SANKU</t>
  </si>
  <si>
    <t>85 12 1/3 5 A ALL BANK COLONY</t>
  </si>
  <si>
    <t>V L PURAM</t>
  </si>
  <si>
    <t>G BHAGAVAN DAS</t>
  </si>
  <si>
    <t>PULLETI KURRU</t>
  </si>
  <si>
    <t>AMBAJI PETA MANDAL</t>
  </si>
  <si>
    <t>L VENKATA RADHAKRISHNA</t>
  </si>
  <si>
    <t>RAJOLU</t>
  </si>
  <si>
    <t>RAJOLU E G DT</t>
  </si>
  <si>
    <t>APPA RAO GOLLU</t>
  </si>
  <si>
    <t>D NO 9 106</t>
  </si>
  <si>
    <t>KUTU KULURU</t>
  </si>
  <si>
    <t>HEMADRIBHOTLA PARVATHA VARDHANI</t>
  </si>
  <si>
    <t>D NO 2-3-18</t>
  </si>
  <si>
    <t>RAMARAO PETA</t>
  </si>
  <si>
    <t>PEDDAPURAMEAST GODAVARI (AP)</t>
  </si>
  <si>
    <t>NAGAJWALA NARASIMHARAO BADIGA</t>
  </si>
  <si>
    <t>KODAVALLI ROAD,</t>
  </si>
  <si>
    <t>FCI COLONY,</t>
  </si>
  <si>
    <t>NARASAIAH AGRAHARAM,BHIMAVARAM</t>
  </si>
  <si>
    <t>PALAKOLANU VISWANADHA RAO</t>
  </si>
  <si>
    <t>H NO 17A_5_9</t>
  </si>
  <si>
    <t>MATTAMVARI STREET</t>
  </si>
  <si>
    <t>PALAKOL</t>
  </si>
  <si>
    <t>MEDA SRIRANGASETTY PRASHANTH</t>
  </si>
  <si>
    <t>NO 148</t>
  </si>
  <si>
    <t>11TH CROSS</t>
  </si>
  <si>
    <t>MALLESWARAMBANGALORE</t>
  </si>
  <si>
    <t>NAGARATHNA</t>
  </si>
  <si>
    <t>135 8TH CROSS</t>
  </si>
  <si>
    <t>6TH MAIN N R COLONY</t>
  </si>
  <si>
    <t>BASAVANGUDIBANGALORE</t>
  </si>
  <si>
    <t>MANJESH REDDY</t>
  </si>
  <si>
    <t>NO 3349, 5th CROSS, 13th MAIN</t>
  </si>
  <si>
    <t>HAL 2nd STAGE</t>
  </si>
  <si>
    <t>INDIRA NAGARBANGALORE, KARNATAKA</t>
  </si>
  <si>
    <t>MENON AYYUNNIYIL PRADEEP</t>
  </si>
  <si>
    <t>DWARAKA 34 OLD NO 11</t>
  </si>
  <si>
    <t>1ST CROSS GUPTA LAYOUT</t>
  </si>
  <si>
    <t>ULSOORBANGALORE KARNATAKA</t>
  </si>
  <si>
    <t>ANJANA DEVI T</t>
  </si>
  <si>
    <t>1396 5TH MAIN 2ND A CROSS</t>
  </si>
  <si>
    <t>D BLOCK RAJAJINAGAR</t>
  </si>
  <si>
    <t>B RAMESH KUMAR</t>
  </si>
  <si>
    <t>NO 63/108,6TH MAIN ROAD,</t>
  </si>
  <si>
    <t>38TH CROSS,5TH BLK,</t>
  </si>
  <si>
    <t>JAYANAGAR,</t>
  </si>
  <si>
    <t>VELAYUDHAM AMUDHA</t>
  </si>
  <si>
    <t>No. 114 SOUNDARYA GARDENIA</t>
  </si>
  <si>
    <t>OPPOSITE JALAHALLI POLICE STATION</t>
  </si>
  <si>
    <t>HMT FACTORY MAIN ROAD JALAHALLIBANGALORE KARNATAKA</t>
  </si>
  <si>
    <t>SHIVARAJ P R</t>
  </si>
  <si>
    <t>1B 2 CROSS NAL WIND TUNNEL</t>
  </si>
  <si>
    <t>ROAD MURUGESHPALYA</t>
  </si>
  <si>
    <t>KOTHARI INTERGROUP LTD.</t>
  </si>
  <si>
    <t>NO.6, RAILWAY PARALLEL ROAD,</t>
  </si>
  <si>
    <t>NEHRU NAGAR,</t>
  </si>
  <si>
    <t>SHASHI BHUSHAN</t>
  </si>
  <si>
    <t>38 2 RAGHAVA NAGAR 2ND</t>
  </si>
  <si>
    <t>CROSS HOYSALA STREET</t>
  </si>
  <si>
    <t>NEW TIMBER YARD LAYOUT</t>
  </si>
  <si>
    <t>CHIKKANNA NAGARAJU</t>
  </si>
  <si>
    <t>19 - 1, 10TH CROSS ROAD,</t>
  </si>
  <si>
    <t>CUBBON PET,</t>
  </si>
  <si>
    <t>BANGALORE (KAR.)</t>
  </si>
  <si>
    <t>BHADRAIAH MOHANKUMAR</t>
  </si>
  <si>
    <t>NO 31/50 4TH CROSS</t>
  </si>
  <si>
    <t>YELAMMA TEMPLE STREET</t>
  </si>
  <si>
    <t>RAVIKADAM L</t>
  </si>
  <si>
    <t>70 2ND MAIN ROAD</t>
  </si>
  <si>
    <t>5TH CROSS DINNUR</t>
  </si>
  <si>
    <t>R T NAGAR POST</t>
  </si>
  <si>
    <t>FAEZ M KHAN</t>
  </si>
  <si>
    <t>FAEZ KHAN B 006 GR FLR HABITAT</t>
  </si>
  <si>
    <t>SPLENDOUR APTS GOPALAN ENTERPRISES</t>
  </si>
  <si>
    <t>NEAR CMR INSTITUTE BROOKESFIELDBANGALORE KARNATAKA</t>
  </si>
  <si>
    <t>INDIRA R MERANI</t>
  </si>
  <si>
    <t>N0 786 JAL VAYU TOWERS</t>
  </si>
  <si>
    <t>NGEF LAYOUT AFNHB PO INDIRA NAGAR</t>
  </si>
  <si>
    <t>BANGALOEKARNATAKA</t>
  </si>
  <si>
    <t>SHIV SHANKER PANDEY</t>
  </si>
  <si>
    <t>CITYLAND TECHNOLOGIES PVT LTD</t>
  </si>
  <si>
    <t>NO 320 2ND FLOOR CMH ROAD INDIRANAGAR</t>
  </si>
  <si>
    <t>ALEXANDER WILSON</t>
  </si>
  <si>
    <t>ROSHNI NO 8 H COLONY 1st STAGE</t>
  </si>
  <si>
    <t>NEW BINNAMANGALA INDIRANAGAR</t>
  </si>
  <si>
    <t>KARNATAKABANGALORE</t>
  </si>
  <si>
    <t>PARMINDER SINGH</t>
  </si>
  <si>
    <t>NO 1804 KUTEER APARTMENTS 1ST FLOOR</t>
  </si>
  <si>
    <t>FLAT NO 204 5TH MAIN 10TH CROSS</t>
  </si>
  <si>
    <t>VIJAYANAGARBANGALORE KARNATAKA</t>
  </si>
  <si>
    <t>ASHA SHIVANAND NAIK</t>
  </si>
  <si>
    <t>130, B-4, GHATAPRABHA APARTMEN</t>
  </si>
  <si>
    <t>KORAMANGALA NATIONAL GAMES VIL</t>
  </si>
  <si>
    <t>BANGALORE SOUTH</t>
  </si>
  <si>
    <t>C SUNDARAMURTHY</t>
  </si>
  <si>
    <t>SIRI AROMA APTS, FLAT NO.202,</t>
  </si>
  <si>
    <t>1ST FLR, NO.90 KEMPANNA LAYOUT,</t>
  </si>
  <si>
    <t>GOWDANAPALYA, UTTARAHALLI,BANGALURU, KARNATAKA</t>
  </si>
  <si>
    <t>OLIVIA BUDHIRAJA</t>
  </si>
  <si>
    <t>8114 SOBHA CHRYSANTHEMUM THANISANDRA MAIN ROAD NEAR</t>
  </si>
  <si>
    <t>HEGDE NAGAR</t>
  </si>
  <si>
    <t>ANIL KUMAR GUPTA</t>
  </si>
  <si>
    <t>283 3RD MAIN</t>
  </si>
  <si>
    <t>MADHU SHETTY</t>
  </si>
  <si>
    <t>689,,,,11TH B CROSS</t>
  </si>
  <si>
    <t>32ND MAIN</t>
  </si>
  <si>
    <t>I PHASE ,,,, J P NAGARBANGALORE</t>
  </si>
  <si>
    <t>G V PRABHATH KIRAN</t>
  </si>
  <si>
    <t>NO 268, VAIBHAVI</t>
  </si>
  <si>
    <t>3RD B CROSS 2ND BLOCK</t>
  </si>
  <si>
    <t>BASAVESHWARNAGARBANGALORE</t>
  </si>
  <si>
    <t>MOHANKUMAR UGARE</t>
  </si>
  <si>
    <t>60 VENKATESHWAR NILAYA DEEPAK</t>
  </si>
  <si>
    <t>MANSION D NO 7 2 ND FLOOR</t>
  </si>
  <si>
    <t>KAVERI NAGARBENGALURU, KARNATAKA</t>
  </si>
  <si>
    <t>MALAMADDI</t>
  </si>
  <si>
    <t>CHAVALI SUBRAMANYAM KRUTHIKA</t>
  </si>
  <si>
    <t>No 130Hampinagar Vijayanagar 2nd Stage 6th Cross</t>
  </si>
  <si>
    <t>6th Main Hampinagar Vijayanagar 2nd Stage Near</t>
  </si>
  <si>
    <t>Hampinagar Post Office Hampinagar Vijayanagar 2nd Stage</t>
  </si>
  <si>
    <t>UMESH D M</t>
  </si>
  <si>
    <t>SRI VENUGOPALASWAMY ROAD</t>
  </si>
  <si>
    <t>DEVANAHALLI TALUK</t>
  </si>
  <si>
    <t>RURAL DISTRICT</t>
  </si>
  <si>
    <t>THYAGARAJU V</t>
  </si>
  <si>
    <t>KANAKAPURA TOWN KANAKAPUR</t>
  </si>
  <si>
    <t>TALUK BANGALORE RURAL</t>
  </si>
  <si>
    <t>NARAYANA S R</t>
  </si>
  <si>
    <t>C O THIMMARAYAPPA BESIDES</t>
  </si>
  <si>
    <t>HEMANTA PROUISION STORE MAKALI</t>
  </si>
  <si>
    <t>VILLAGE ALUR ROAD DASANAPURA</t>
  </si>
  <si>
    <t>ABU MATHEN MATHEW</t>
  </si>
  <si>
    <t>NO A2 CHIRAKADAVIL DIAMOND REGENCY</t>
  </si>
  <si>
    <t>APTS DODDAGUBBI BANGALORE SOUTH</t>
  </si>
  <si>
    <t>HEERALAL KISTHUR CHAND HUF .</t>
  </si>
  <si>
    <t>46, BETHMANGALA OLD TOWN,</t>
  </si>
  <si>
    <t>4TH BLOCK,</t>
  </si>
  <si>
    <t>BANGARPET TALUK,</t>
  </si>
  <si>
    <t>KESHAV GUPTHA</t>
  </si>
  <si>
    <t>NO 298 13TH CROSS 5TH MAIN</t>
  </si>
  <si>
    <t>GOKULAM 2ND STAGE MYSORE</t>
  </si>
  <si>
    <t>PRAVEEN KUMAR MURTHY</t>
  </si>
  <si>
    <t>2793/K 18 2ND MAIN 5TH CROSS</t>
  </si>
  <si>
    <t>CHAMUNDIPURAM</t>
  </si>
  <si>
    <t>MYSOREKARNATAKA</t>
  </si>
  <si>
    <t>VENUGOPAL</t>
  </si>
  <si>
    <t>9 K R VANAM</t>
  </si>
  <si>
    <t>RAMA IYYER ROAD</t>
  </si>
  <si>
    <t>MYSOREMYSORE</t>
  </si>
  <si>
    <t>K P SWAMY</t>
  </si>
  <si>
    <t>H NO 5567 LIG GROUP 1</t>
  </si>
  <si>
    <t>MAHADEVE GOWDA D P</t>
  </si>
  <si>
    <t>NO 26 DEVEERA HALLI</t>
  </si>
  <si>
    <t>MALAVALLI MANDYA</t>
  </si>
  <si>
    <t>HANUMANTHA MADEVA SHETTY</t>
  </si>
  <si>
    <t>S/O: MADEVA SHETTY</t>
  </si>
  <si>
    <t>KOLLEGALA TALLUKU, MANCHAPURA,</t>
  </si>
  <si>
    <t>RAMAPURA</t>
  </si>
  <si>
    <t>BABU N</t>
  </si>
  <si>
    <t>SHREE DURGA</t>
  </si>
  <si>
    <t>NETHAJI ROAD 1ST CROSS</t>
  </si>
  <si>
    <t>PRAKASH KALLUR VISHWESWARAIAH</t>
  </si>
  <si>
    <t>S/O VISHWESWARAIAH K V SAPTHAGIRI</t>
  </si>
  <si>
    <t>IIND MAIN 3RD CROSS</t>
  </si>
  <si>
    <t>NRUPRTUNGA EXTENSIONTUMKUR KARNATAKA INDIA</t>
  </si>
  <si>
    <t>SANDHYA SATISH KUMAR</t>
  </si>
  <si>
    <t>NO 5214 GURUKRUPA</t>
  </si>
  <si>
    <t>SADASHIVANAGAR</t>
  </si>
  <si>
    <t>DEVARAJA GUPTHA</t>
  </si>
  <si>
    <t>238, AGRAHAR GANAPATHY</t>
  </si>
  <si>
    <t>DEVASTHANAD RASTHE</t>
  </si>
  <si>
    <t>GANDHINAGAR, AMBEDKARA NGR</t>
  </si>
  <si>
    <t>SIRA</t>
  </si>
  <si>
    <t>K R DHARMRAJU</t>
  </si>
  <si>
    <t>K K RAMEGOWDA</t>
  </si>
  <si>
    <t>POST HEGADDE ADVOCATE</t>
  </si>
  <si>
    <t>KADMANE VILLAGESAKLESHPUR KARNATAKA</t>
  </si>
  <si>
    <t>H A SHIVA SHANKAR</t>
  </si>
  <si>
    <t>PUSHPAGIRI SOCIETY</t>
  </si>
  <si>
    <t>OLD GANIGARA STHASSAN</t>
  </si>
  <si>
    <t>TAURO JOHN JOSEPH</t>
  </si>
  <si>
    <t>C 204 CASA GRANDE STURROCK ROAD</t>
  </si>
  <si>
    <t>FALNIR</t>
  </si>
  <si>
    <t>MANGALOREKARNATAKA</t>
  </si>
  <si>
    <t>SREEJITH T R</t>
  </si>
  <si>
    <t>502 SBI OFFICERS QUARTERS</t>
  </si>
  <si>
    <t>PARASHURAM APARTMENTS LADYHILL</t>
  </si>
  <si>
    <t>PRAFULLA PURANIK</t>
  </si>
  <si>
    <t>B 03/C 03 ASHOKA PARADISE</t>
  </si>
  <si>
    <t>HOIGEBAIL ROAD ASHOKA NAGAR</t>
  </si>
  <si>
    <t>NAGARAJA B V</t>
  </si>
  <si>
    <t>B 44 KIOCL COLONY</t>
  </si>
  <si>
    <t>KAVOOR</t>
  </si>
  <si>
    <t>PRASOBH J MECHERY</t>
  </si>
  <si>
    <t>ROOM NO 203 P G BLOCK</t>
  </si>
  <si>
    <t>NITKS HOSTEL SURATHKAL</t>
  </si>
  <si>
    <t>UDUPI</t>
  </si>
  <si>
    <t>SHASHIDHARA KIDIYOOR RAO</t>
  </si>
  <si>
    <t>FLAT NO 102 NO 9/4998 A16</t>
  </si>
  <si>
    <t>MANASA APPARTMENTS</t>
  </si>
  <si>
    <t>OLD POST OFFICE ROAD</t>
  </si>
  <si>
    <t>GANESH PRABHU</t>
  </si>
  <si>
    <t>NO 5 21F</t>
  </si>
  <si>
    <t>VISHNUMOORTHY NAGAR</t>
  </si>
  <si>
    <t>BUDNAR KUNJUPETTUUDUPI KARNATAKA</t>
  </si>
  <si>
    <t>DOODAKONDAGULA KEMPEGOWDA RAJU</t>
  </si>
  <si>
    <t>SURAKSHA UPPER HUTHA</t>
  </si>
  <si>
    <t>1ST CROSS NEW COLONY</t>
  </si>
  <si>
    <t>BHADRAVATHISHIMOGA KARNATAKA</t>
  </si>
  <si>
    <t>NAGESH K C</t>
  </si>
  <si>
    <t>HOUSE NO 42 GUDDEKOPPA ASALI</t>
  </si>
  <si>
    <t>THIRTHAHALLI</t>
  </si>
  <si>
    <t>SHIMOGA KARNATAKAINDIA</t>
  </si>
  <si>
    <t>RANJITHA N V</t>
  </si>
  <si>
    <t>23 1 RAGHAVENDRA LAYOUT</t>
  </si>
  <si>
    <t>SHIMOGA DISTKARNATAKA</t>
  </si>
  <si>
    <t>DODDALINGACHAARI.K.M</t>
  </si>
  <si>
    <t>BELLARY ROAD</t>
  </si>
  <si>
    <t>3RD CROSS</t>
  </si>
  <si>
    <t>CHALLAKERE</t>
  </si>
  <si>
    <t>S G SOUDATTI</t>
  </si>
  <si>
    <t>5, GOPALAPUR</t>
  </si>
  <si>
    <t>RAKESH KUMAR SINGH</t>
  </si>
  <si>
    <t>C/O LINGARAJ J PATIL PLOT NO 3 SBI</t>
  </si>
  <si>
    <t>COLONY PHQ ROAD</t>
  </si>
  <si>
    <t>DHARWAD KARNATAKA</t>
  </si>
  <si>
    <t>CHANDRAKANT V PONARKAR</t>
  </si>
  <si>
    <t>ASSTEX ENGINEER</t>
  </si>
  <si>
    <t>SATYANARAYAN KRUPA</t>
  </si>
  <si>
    <t>IV CROSS SAINAGARHUBLI</t>
  </si>
  <si>
    <t>SUBRAT DAS</t>
  </si>
  <si>
    <t>E-63 KUNNIPETE- A1 TO 106</t>
  </si>
  <si>
    <t>VIRJE KARWAR</t>
  </si>
  <si>
    <t>UTTAR KANNADA</t>
  </si>
  <si>
    <t>VASANT L NAIK</t>
  </si>
  <si>
    <t>VENILA HOUSE</t>
  </si>
  <si>
    <t>NEAR RAJADHANI FINANCE</t>
  </si>
  <si>
    <t>MARATIKOPPASIRSI</t>
  </si>
  <si>
    <t>VINAYAK VENKATRAMANA BHAGWAT</t>
  </si>
  <si>
    <t>JEEVAN PHARMA</t>
  </si>
  <si>
    <t>KOUMUDI NURSING HOME</t>
  </si>
  <si>
    <t>BHAGAT SINGH ROAD</t>
  </si>
  <si>
    <t>B HARISHANKAR</t>
  </si>
  <si>
    <t>L B COLONY</t>
  </si>
  <si>
    <t>RAGHAVENDRA PRASANNA TATTI</t>
  </si>
  <si>
    <t>S/O RAMAMURTHY NSC AGENT NEAR,</t>
  </si>
  <si>
    <t>BHARATH TALKIES,</t>
  </si>
  <si>
    <t>GOKUL LAHOTI</t>
  </si>
  <si>
    <t>SRI HARI KRUPA</t>
  </si>
  <si>
    <t>BESIDE PAPA REDDY HOUSE</t>
  </si>
  <si>
    <t>NEAR GUNJ KALYAN MANDAP</t>
  </si>
  <si>
    <t>YERMARUS SHASHIDHAR PATIL</t>
  </si>
  <si>
    <t>H NO 13 7 113</t>
  </si>
  <si>
    <t>YERMARUS VILLAGERAICHUR</t>
  </si>
  <si>
    <t>SWATI SHIVANAND SAVALGI</t>
  </si>
  <si>
    <t>F-1 BLOCK,</t>
  </si>
  <si>
    <t>R.P.D COLLEGE COMPOUND,</t>
  </si>
  <si>
    <t>MANASWINI APARTM,</t>
  </si>
  <si>
    <t>RAJANIKANT G KULKARNI</t>
  </si>
  <si>
    <t>H NO 32 2ND CROSS</t>
  </si>
  <si>
    <t>BHAGYA NAGAR</t>
  </si>
  <si>
    <t>SHRIKANT BABAYYA HIREMATH</t>
  </si>
  <si>
    <t>SHRI NAGAR SECTOR 5</t>
  </si>
  <si>
    <t>BELAGAVIKARNATAKA</t>
  </si>
  <si>
    <t>PRASAD SHAMRAO HASBE</t>
  </si>
  <si>
    <t>SY NO. 890/1B, PLOT NO. 18,</t>
  </si>
  <si>
    <t>SAMARTH NAGAR, CROSS NO. 2,</t>
  </si>
  <si>
    <t>BEHIND MANICKBAG BOARDING,</t>
  </si>
  <si>
    <t>FAKEERADDI K BENTUR</t>
  </si>
  <si>
    <t>TOWN VILL RAINAPUR</t>
  </si>
  <si>
    <t>TQ SAVADATTI</t>
  </si>
  <si>
    <t>DIST BELGAUMRAINAPUR</t>
  </si>
  <si>
    <t>NANASAHEB DADASAHEB HUDDAR</t>
  </si>
  <si>
    <t>AT POST VANKUND TQ BAILHONGAL</t>
  </si>
  <si>
    <t>DIST BELGAUM</t>
  </si>
  <si>
    <t>BAILHONGAL</t>
  </si>
  <si>
    <t>RAJU BABASAB NIMBARGI</t>
  </si>
  <si>
    <t>BANASHANKARI LINE</t>
  </si>
  <si>
    <t>A/P-DESHNOOR</t>
  </si>
  <si>
    <t>TAL &amp; DIST- BELGAUM</t>
  </si>
  <si>
    <t>BHAUSAHEB RAVSAHEB TAKALE</t>
  </si>
  <si>
    <t>QTRS.NO. C-7</t>
  </si>
  <si>
    <t>SHREE DOODAGANGA KRISHNA</t>
  </si>
  <si>
    <t>S S K N , FACTORY QTRS,CHIKODI</t>
  </si>
  <si>
    <t>P. SHYAM SUNDARI</t>
  </si>
  <si>
    <t>NO.61 SEVEN WELLS STREET</t>
  </si>
  <si>
    <t>THATHAMUTHIAPPAN STREET</t>
  </si>
  <si>
    <t>SOWCARPETCHENNAI</t>
  </si>
  <si>
    <t>FRANCIS P A</t>
  </si>
  <si>
    <t>32/88 ABIBULLA 3RD LANE</t>
  </si>
  <si>
    <t>SRIDEVI.R</t>
  </si>
  <si>
    <t>CAREER IMPACT, NO A/10, FIRST FLOOR</t>
  </si>
  <si>
    <t>HONG KONG COMPLEX</t>
  </si>
  <si>
    <t>NO 9 AND 10, RAMANATHAN STREETT NAGAR, CHENNAI</t>
  </si>
  <si>
    <t>B RAMA VIVEKANANDA REDDY</t>
  </si>
  <si>
    <t>NO-10 SVN HOUSE</t>
  </si>
  <si>
    <t>CP RAMASAMY AIYYAR ROAD</t>
  </si>
  <si>
    <t>ALWARPETCHENNAI</t>
  </si>
  <si>
    <t>MAHESWARAN SUBBIAH</t>
  </si>
  <si>
    <t>NEW NO 29 OLD NO 14</t>
  </si>
  <si>
    <t>KAVARAI STREET NEAR RAM THEATRE</t>
  </si>
  <si>
    <t>VADAPALANI CHENNAITAMIL NADU</t>
  </si>
  <si>
    <t>T R SUGUNTHA KUMARI .</t>
  </si>
  <si>
    <t>B 4 ROHINI GARDENS</t>
  </si>
  <si>
    <t>SANTHOME HIGH ROAD</t>
  </si>
  <si>
    <t>R.A.PURAM</t>
  </si>
  <si>
    <t>VELLAYAPPAN KANNAPPAN</t>
  </si>
  <si>
    <t>B 8 HIRANYA APTS</t>
  </si>
  <si>
    <t>GREENWAYS ROAD EXTENSION</t>
  </si>
  <si>
    <t>R A PURAMCHENNAI TAMIL NADU</t>
  </si>
  <si>
    <t>T P RATHINAVELU .</t>
  </si>
  <si>
    <t>R A PURAM</t>
  </si>
  <si>
    <t>R PALANIKKARASI .</t>
  </si>
  <si>
    <t>T RAMA</t>
  </si>
  <si>
    <t>D BLOCK NO 1</t>
  </si>
  <si>
    <t>TNHB GOVT QUATERS PULLA AVN</t>
  </si>
  <si>
    <t>SHENOY NGR</t>
  </si>
  <si>
    <t>SATHYANARAYANA N</t>
  </si>
  <si>
    <t>NEW NO 93 OLD NO 43</t>
  </si>
  <si>
    <t>PILLAYAR KOIL STREET</t>
  </si>
  <si>
    <t>SHENOY NAGARCHENNAI</t>
  </si>
  <si>
    <t>SRINIVASAN R</t>
  </si>
  <si>
    <t>41/18 FLAT 3 1ST FLOOR SHIYAM MADURA</t>
  </si>
  <si>
    <t>SUBRAMANIAN STREET</t>
  </si>
  <si>
    <t>WEST MAMBALAMCHENNAI</t>
  </si>
  <si>
    <t>RAMU ANNAMALAI RAMSAMY</t>
  </si>
  <si>
    <t>FLAT NO S/2 N NO 30</t>
  </si>
  <si>
    <t>PALAT SANKARAN ROAD</t>
  </si>
  <si>
    <t>MAHALINGAPURAMCHENNAI</t>
  </si>
  <si>
    <t>NOORJAHAN BASHEER AHAMED</t>
  </si>
  <si>
    <t>OLD NO 5/NEW NO 11</t>
  </si>
  <si>
    <t>MGR STREET</t>
  </si>
  <si>
    <t>CHOLAUARAM NAGARCHROMPET CHENNAI</t>
  </si>
  <si>
    <t>PARIRAJA PANDIAN P.</t>
  </si>
  <si>
    <t>99, 1st FLOOR, 4th CROSS ST,</t>
  </si>
  <si>
    <t>SOUTH JAGANATHA NAGAR,</t>
  </si>
  <si>
    <t>VILLIVAKKAM,</t>
  </si>
  <si>
    <t>RAMANAN S V</t>
  </si>
  <si>
    <t>A 25 SNEHAM APTS NO 3 PARK ROAD</t>
  </si>
  <si>
    <t>ANNANAGAR WEST EXTN</t>
  </si>
  <si>
    <t>PADICHENNAI TAMIL NADU INDIA</t>
  </si>
  <si>
    <t>STANISLAUS BOSCO</t>
  </si>
  <si>
    <t>17 O P RAMAN STREET</t>
  </si>
  <si>
    <t>AVADICHENNAI</t>
  </si>
  <si>
    <t>N BALAJI</t>
  </si>
  <si>
    <t>PLOT NO: R 6 4TH CROSS STREET</t>
  </si>
  <si>
    <t>GREATER KAILASH</t>
  </si>
  <si>
    <t>MADAMBAKKAM</t>
  </si>
  <si>
    <t>SHAMGITH P CHACKO</t>
  </si>
  <si>
    <t>NO.2/480 3RD MAIN STREET</t>
  </si>
  <si>
    <t>BHAVANI NAGAR</t>
  </si>
  <si>
    <t>POZJICHALURCHENNAI</t>
  </si>
  <si>
    <t>NAMITHA A SAMDARIA</t>
  </si>
  <si>
    <t>NO.6,</t>
  </si>
  <si>
    <t>PERIYA NAYAKKAEN STREET,</t>
  </si>
  <si>
    <t>SOWCARPET, CHENNAICHENNAI</t>
  </si>
  <si>
    <t>NAVRATHAN MAL BAFNA</t>
  </si>
  <si>
    <t>NO 5</t>
  </si>
  <si>
    <t>NALLANNA MUDALI STREET</t>
  </si>
  <si>
    <t>CHENNAITAMIL NADU</t>
  </si>
  <si>
    <t>Shobana Kankaria</t>
  </si>
  <si>
    <t>5 Vinayaka Maistry Street</t>
  </si>
  <si>
    <t>Sowcarpet</t>
  </si>
  <si>
    <t>Chennai Tamilnadu</t>
  </si>
  <si>
    <t>T SUBRAMANIAN</t>
  </si>
  <si>
    <t>FLAT NO 5 3RD FLOOR 2 92ND STREET</t>
  </si>
  <si>
    <t>18TH AVENUE ASHOK NAGAR</t>
  </si>
  <si>
    <t>CHENNAI TAMILNADU</t>
  </si>
  <si>
    <t>M R MEERA</t>
  </si>
  <si>
    <t>DOOR NO 9/6</t>
  </si>
  <si>
    <t>KADUMBADIYAMMAN KOIL</t>
  </si>
  <si>
    <t>3RD ST</t>
  </si>
  <si>
    <t>VASUDEVAN HARIPRIYA</t>
  </si>
  <si>
    <t>No.57, Sri Sai Balaji Flats, S2, Second Floor Mahalaksh</t>
  </si>
  <si>
    <t>VIJAYARAMAN R .</t>
  </si>
  <si>
    <t>L 46 A 1ST MAIN ROAD</t>
  </si>
  <si>
    <t>BESANT NAGAR</t>
  </si>
  <si>
    <t>S.LAKSHMANASWAMY</t>
  </si>
  <si>
    <t>8 UNNAMALAI AMMAL STREET</t>
  </si>
  <si>
    <t>KOLATHUR</t>
  </si>
  <si>
    <t>KOLATHURCHENNAI</t>
  </si>
  <si>
    <t>SWAMINATHAN SENTHIL SENTHIL VADIVOO</t>
  </si>
  <si>
    <t>NO 351 16TH STREET</t>
  </si>
  <si>
    <t>C SECTOR ANNA NAGAR WESTERN EX</t>
  </si>
  <si>
    <t>CHENNAI 600101</t>
  </si>
  <si>
    <t>NATARAJAN UMA .</t>
  </si>
  <si>
    <t>F2 D BLOCK GREEN FILED APARTMENT</t>
  </si>
  <si>
    <t>AMMAN KOIL STREET</t>
  </si>
  <si>
    <t>THELIYARAGARAM PORUR</t>
  </si>
  <si>
    <t>K S KARTHIKEYAN</t>
  </si>
  <si>
    <t>VIVEKANANDA NAGAR</t>
  </si>
  <si>
    <t>2ND ST</t>
  </si>
  <si>
    <t>ANGAMUTHU THILAGAVATHY</t>
  </si>
  <si>
    <t>88B ARULALEESWARAN KOVIL STRET</t>
  </si>
  <si>
    <t>MADURANTHAKAM (M)</t>
  </si>
  <si>
    <t>MADURANTHAKAM (TK)</t>
  </si>
  <si>
    <t>A VENGADASABABADY</t>
  </si>
  <si>
    <t>20FF OM MURUGA DLLAM 9TH CROSS</t>
  </si>
  <si>
    <t>RAINBOW NAGAR</t>
  </si>
  <si>
    <t>PONDICHERY TAMILNADU</t>
  </si>
  <si>
    <t>GIRI MEHER BABA</t>
  </si>
  <si>
    <t>NO 2, 7TH CROSS ROAD</t>
  </si>
  <si>
    <t>REDDIYAR PALAYAMPONDICHERRY</t>
  </si>
  <si>
    <t>S USHA</t>
  </si>
  <si>
    <t>11 A, TYPE 3 QUARTERS</t>
  </si>
  <si>
    <t>BLOCK-21</t>
  </si>
  <si>
    <t>K SAMBANDAM</t>
  </si>
  <si>
    <t>NO 46, VPM STREET</t>
  </si>
  <si>
    <t>R. SOMASUNDARAM</t>
  </si>
  <si>
    <t>NO 41</t>
  </si>
  <si>
    <t>MALAIKATTI STREET</t>
  </si>
  <si>
    <t>BALAJI .</t>
  </si>
  <si>
    <t>S O RAJARAMAN 58 11 THENDRAL</t>
  </si>
  <si>
    <t>NAGAR THRIUVARUR TK</t>
  </si>
  <si>
    <t>THIRUVARUR THIRUVARUR TAMIL</t>
  </si>
  <si>
    <t>KARTHIGEYAN</t>
  </si>
  <si>
    <t>279/104</t>
  </si>
  <si>
    <t>PUBLIC OFFICE ROAD</t>
  </si>
  <si>
    <t>VELIPPALAYAMNAGAPATTINAM</t>
  </si>
  <si>
    <t>KULANDAIVELU BHAVANI</t>
  </si>
  <si>
    <t>3 SAKOJI STREET WD 4</t>
  </si>
  <si>
    <t>KOMBAKONAM MUNICIPALITY</t>
  </si>
  <si>
    <t>KUMBAKONAM M THANJAVURTHANJAVUR</t>
  </si>
  <si>
    <t>T VENNILA .</t>
  </si>
  <si>
    <t>NO 63/3523</t>
  </si>
  <si>
    <t>DABEERKULAM ROAD</t>
  </si>
  <si>
    <t>KELAVASAL</t>
  </si>
  <si>
    <t>S TAMIL ARASU</t>
  </si>
  <si>
    <t>63/3523</t>
  </si>
  <si>
    <t>DABEER KULAM ROAD</t>
  </si>
  <si>
    <t>EAST GATETHANJAVUR</t>
  </si>
  <si>
    <t>R KALAISELVI</t>
  </si>
  <si>
    <t>W/O P RAM KUMAR</t>
  </si>
  <si>
    <t>592 KEERAIKARA STREET</t>
  </si>
  <si>
    <t>KARANTHAITHANJAVUR</t>
  </si>
  <si>
    <t>DEEPAN RAJENDRAN</t>
  </si>
  <si>
    <t>402 KEELAKKADU UDAIYAKKADU</t>
  </si>
  <si>
    <t>KOLLUKKADU MARUNGAPALLAM</t>
  </si>
  <si>
    <t>MARUNGAPALLAM PT</t>
  </si>
  <si>
    <t>S V SEETHARAMAN</t>
  </si>
  <si>
    <t>E E -2 HOUSING UNIT</t>
  </si>
  <si>
    <t>SALAI ROAD</t>
  </si>
  <si>
    <t>WORIYUR</t>
  </si>
  <si>
    <t>V DURAISAMY</t>
  </si>
  <si>
    <t>2/2 MAINROAD</t>
  </si>
  <si>
    <t>KOLAKKUDI POST</t>
  </si>
  <si>
    <t>MUSIRI TKTRICHY</t>
  </si>
  <si>
    <t>M PRIYA</t>
  </si>
  <si>
    <t>1/2700,</t>
  </si>
  <si>
    <t>1ST NEHRU NAGAR,</t>
  </si>
  <si>
    <t>A DEVAKUMAR</t>
  </si>
  <si>
    <t>A5/964 POOMALAIVALASAI,</t>
  </si>
  <si>
    <t>YENMANAGKONDAN,</t>
  </si>
  <si>
    <t>RAMNAD,TAMILNADU</t>
  </si>
  <si>
    <t>MAHESWARAN R</t>
  </si>
  <si>
    <t>5/158 KOLLAM PATTARAI STREET PARAMAK</t>
  </si>
  <si>
    <t>UDI RAMNAD KOLLM PATTARAI STREET</t>
  </si>
  <si>
    <t>PARAMAKUDI TAMIL NADU</t>
  </si>
  <si>
    <t>SASIKUMAR P</t>
  </si>
  <si>
    <t>NO 5 915 PWD COLONY</t>
  </si>
  <si>
    <t>BALAKRISHNA PURAM TRICHY ROAD</t>
  </si>
  <si>
    <t>SEELAPADI</t>
  </si>
  <si>
    <t>SELVARAYAR A</t>
  </si>
  <si>
    <t>OLD NO 58D NEW NO 2-7-35</t>
  </si>
  <si>
    <t>ATS NAGAR</t>
  </si>
  <si>
    <t>CHINNALAPATTIDINDIGUL TK DINDIGUL</t>
  </si>
  <si>
    <t>PALANI</t>
  </si>
  <si>
    <t>PAKKALI DEVAR MARIAPPAN</t>
  </si>
  <si>
    <t>NO 7</t>
  </si>
  <si>
    <t>SOUNDAMMAN KOIL STREET</t>
  </si>
  <si>
    <t>JEYARAMAN G</t>
  </si>
  <si>
    <t>275E2/ 1 7</t>
  </si>
  <si>
    <t>VISHWANATHA NAGAR</t>
  </si>
  <si>
    <t>ODDANCHATRAM TK</t>
  </si>
  <si>
    <t>K SUBAHASHMI</t>
  </si>
  <si>
    <t>DOOR NO 9/2-3A</t>
  </si>
  <si>
    <t>GURUKALAIYAMPATTY ERIODU</t>
  </si>
  <si>
    <t>PERUPATCHI VEDASANDUR TKDINDIGUL</t>
  </si>
  <si>
    <t>K RADHA KRISHNAN</t>
  </si>
  <si>
    <t>REDDIAPATTI AGARAM</t>
  </si>
  <si>
    <t>SUKKAMPATTI PO</t>
  </si>
  <si>
    <t>THADICOMBUDINDIGUL</t>
  </si>
  <si>
    <t>USHARANI. S .</t>
  </si>
  <si>
    <t>DOOR NO. 20,</t>
  </si>
  <si>
    <t>NORTH KRISHNAN KOVIL STREET,</t>
  </si>
  <si>
    <t>M SOMASUNDARAM</t>
  </si>
  <si>
    <t>34 CHOKKA KOTHAN STREET</t>
  </si>
  <si>
    <t>SENTHIL KUMAR G</t>
  </si>
  <si>
    <t>75 2ND FLR WEST AVANI MOOLA STREET</t>
  </si>
  <si>
    <t>UPSTAIRS MOOGAMBIKA FURNITURE</t>
  </si>
  <si>
    <t>OPP SIDE TO CANARA BANKMADURAI TAMIL NADU</t>
  </si>
  <si>
    <t>PARAMASIVAM. S</t>
  </si>
  <si>
    <t>JT 01, NIRMAL BLOCK</t>
  </si>
  <si>
    <t>AGRINI APARTMENTS</t>
  </si>
  <si>
    <t>ANDAL PURAMMADURAI</t>
  </si>
  <si>
    <t>IYYAPPAN RAJESH</t>
  </si>
  <si>
    <t>31 A KAJIYAR LINE ARASADI</t>
  </si>
  <si>
    <t>MADURAI SOUTH</t>
  </si>
  <si>
    <t>BALASUBRAMANIAN C</t>
  </si>
  <si>
    <t>52 A KATTHAPATTU CHETTIAR</t>
  </si>
  <si>
    <t>ST MELUR</t>
  </si>
  <si>
    <t>ABDULHAMEED S</t>
  </si>
  <si>
    <t>MOSQUE LANE</t>
  </si>
  <si>
    <t>BODINAYAKANURTHENI</t>
  </si>
  <si>
    <t>CHANDRASEKARAN</t>
  </si>
  <si>
    <t>NO 32</t>
  </si>
  <si>
    <t>V O C NAGAR</t>
  </si>
  <si>
    <t>NORTH STREETBODINAYAKANUR</t>
  </si>
  <si>
    <t>ANBALAGAN</t>
  </si>
  <si>
    <t>20/92A</t>
  </si>
  <si>
    <t>PERIYANDAVAR KULAM STREET</t>
  </si>
  <si>
    <t>BONDINAYAKANURTHENI</t>
  </si>
  <si>
    <t>AYESABARWEEN M</t>
  </si>
  <si>
    <t>DOOR NO 60, WARD 20, 3rd STREET</t>
  </si>
  <si>
    <t>PADMANABA SAMY KOIL STREET</t>
  </si>
  <si>
    <t>CHINNAMANURTHENI, TAMILNADU</t>
  </si>
  <si>
    <t>VENKATESH S</t>
  </si>
  <si>
    <t>2/71(3) EAST STREET</t>
  </si>
  <si>
    <t>GOVINDA NAGARAM</t>
  </si>
  <si>
    <t>KALYANI R</t>
  </si>
  <si>
    <t>W7/158, OLD POST OFFICE</t>
  </si>
  <si>
    <t>THEVARAMTHENI (DT), TAMIL NADU</t>
  </si>
  <si>
    <t>RAMANUJAM .</t>
  </si>
  <si>
    <t>186 C MIRANDALAIYAN</t>
  </si>
  <si>
    <t>VIJAY SENTHIL P</t>
  </si>
  <si>
    <t>NO 25 W</t>
  </si>
  <si>
    <t>FOREST ROAD</t>
  </si>
  <si>
    <t>9 TH STREETTHENI</t>
  </si>
  <si>
    <t>BALAGANGATHARATHILAGAR</t>
  </si>
  <si>
    <t>NO 7 FOREST ROAD</t>
  </si>
  <si>
    <t>4TH STREET</t>
  </si>
  <si>
    <t>ALLINAGARAMTHENI</t>
  </si>
  <si>
    <t>S KARTHIKEYAN</t>
  </si>
  <si>
    <t>OLD NO NEW NO M1/9</t>
  </si>
  <si>
    <t>HOUSING BOARD</t>
  </si>
  <si>
    <t>ARANMANAI PUDURTHENI</t>
  </si>
  <si>
    <t>P PRABHAKARAN</t>
  </si>
  <si>
    <t>27 NEHRUJI MAIN ROAD</t>
  </si>
  <si>
    <t>BOMMAIYAGOUNDANPATTY</t>
  </si>
  <si>
    <t>LALBAHADUR SASTRI V</t>
  </si>
  <si>
    <t>77 RAJALANE STREET</t>
  </si>
  <si>
    <t>PAINDIAL OIL MILL ROAD</t>
  </si>
  <si>
    <t>OPP POLICE STATIONTHENI</t>
  </si>
  <si>
    <t>LAKSHMI G</t>
  </si>
  <si>
    <t>47/1 POLICE STATION ROAD</t>
  </si>
  <si>
    <t>LAKSHMANAN. P</t>
  </si>
  <si>
    <t>18, NORTH UCHINIMAHALIAMMAN KOIL ST</t>
  </si>
  <si>
    <t>PALAYAMKOTTAI</t>
  </si>
  <si>
    <t>MATHIALAGAN DEVADOSS M</t>
  </si>
  <si>
    <t>NO.337A, 418/A</t>
  </si>
  <si>
    <t>19TH STREET, SHANTHI NAGAR</t>
  </si>
  <si>
    <t>PALAYAMKOTTAITIRUNELVELI</t>
  </si>
  <si>
    <t>V AMBALAVANAN</t>
  </si>
  <si>
    <t>PLOT NO 105</t>
  </si>
  <si>
    <t>RAMNAGAR EXTN</t>
  </si>
  <si>
    <t>IIND STREET MAHARAJA NAGARTIRUNELVELI</t>
  </si>
  <si>
    <t>M DEVARAJ</t>
  </si>
  <si>
    <t>C-11</t>
  </si>
  <si>
    <t>THENDRAL NAGAR</t>
  </si>
  <si>
    <t>MAHARAJA NAGAR (POST)TIRUNELVELI</t>
  </si>
  <si>
    <t>N LAKSHMIKALA</t>
  </si>
  <si>
    <t>NO 164 KALAYANIPURAM</t>
  </si>
  <si>
    <t>4TH STREET ALWARKURICHI POST</t>
  </si>
  <si>
    <t>AMBASAMUDRAM TALUKTIRUNELVELI</t>
  </si>
  <si>
    <t>OLD NO 1-5-4, NEW NO 1-5--11,</t>
  </si>
  <si>
    <t>BHARATHI NAGAR,</t>
  </si>
  <si>
    <t>5TH STREET,MELAGARAM,TAMILNADU</t>
  </si>
  <si>
    <t>N KANNAN</t>
  </si>
  <si>
    <t>74/A BHARATH ILLAM</t>
  </si>
  <si>
    <t>ERULAPPA PURAM PO</t>
  </si>
  <si>
    <t>NAGERCOIL-2</t>
  </si>
  <si>
    <t>NAGERCOIL</t>
  </si>
  <si>
    <t>J.THANISLAS .</t>
  </si>
  <si>
    <t>T.M.NIVAS</t>
  </si>
  <si>
    <t>CHOOZHAL</t>
  </si>
  <si>
    <t>ADAIKAKUZHI P.O</t>
  </si>
  <si>
    <t>R.PRIYADARSHAN NAIR .</t>
  </si>
  <si>
    <t>3 97 MUKALVATTAM</t>
  </si>
  <si>
    <t>THIRUNANTHIKARAI</t>
  </si>
  <si>
    <t>KULASEKARAM</t>
  </si>
  <si>
    <t>MARTHANDAM</t>
  </si>
  <si>
    <t>ALPHONSA VARGHESE MARIAN</t>
  </si>
  <si>
    <t>CHENAMAN VILAI</t>
  </si>
  <si>
    <t>THIRUTHUVAPURAM</t>
  </si>
  <si>
    <t>25 75C 2 KUZHITHURAIKANYAKUMARI</t>
  </si>
  <si>
    <t>BINDHU L</t>
  </si>
  <si>
    <t>11-25 VALLUVAR STREET</t>
  </si>
  <si>
    <t>NEAR MURUGAN TEMPLE VADAKKOOR THOVAL</t>
  </si>
  <si>
    <t>THOVALATAMILNADU</t>
  </si>
  <si>
    <t>S PELICAN .</t>
  </si>
  <si>
    <t>O NO.75 N NO.87</t>
  </si>
  <si>
    <t>MARAKUDI STREET</t>
  </si>
  <si>
    <t>AGASTHEES WARAM</t>
  </si>
  <si>
    <t>TR BHAVANANTHAM</t>
  </si>
  <si>
    <t>NO 30</t>
  </si>
  <si>
    <t>SATHIYAMOORTHY NAGAR</t>
  </si>
  <si>
    <t>2ND STREETKARAIKUDI</t>
  </si>
  <si>
    <t>M J PAULOSE</t>
  </si>
  <si>
    <t>B2-POWER GRID COLONY</t>
  </si>
  <si>
    <t>KALANIVASAL</t>
  </si>
  <si>
    <t>KARAIKUDI SIVAGANGA TNKARAIKUDI</t>
  </si>
  <si>
    <t>S POONGOTHAI .</t>
  </si>
  <si>
    <t>3/94, MELA KUDIYIRUPPU</t>
  </si>
  <si>
    <t>THALAKKAVUR, KARAIKUDI</t>
  </si>
  <si>
    <t>MOLAI POTTAL</t>
  </si>
  <si>
    <t>THALAKKAVUR</t>
  </si>
  <si>
    <t>DURGISATHYANARAYANA .</t>
  </si>
  <si>
    <t>20 TIRUTTANI</t>
  </si>
  <si>
    <t>TIRUTTANI</t>
  </si>
  <si>
    <t>BABU L</t>
  </si>
  <si>
    <t>NO 18/25/3</t>
  </si>
  <si>
    <t>REDDY PET STREET</t>
  </si>
  <si>
    <t>R SOUNDAR RAJAN</t>
  </si>
  <si>
    <t>BAZAR STREET</t>
  </si>
  <si>
    <t>ODUGATHURVELLORE</t>
  </si>
  <si>
    <t>SRI DEVI N V</t>
  </si>
  <si>
    <t>NO.48 SANTHI NAGAR</t>
  </si>
  <si>
    <t>1ST CROSS</t>
  </si>
  <si>
    <t>NELLORE SUMESH PANIKER</t>
  </si>
  <si>
    <t>NO 62</t>
  </si>
  <si>
    <t>6TH CROSS</t>
  </si>
  <si>
    <t>R SURESHKUMAR</t>
  </si>
  <si>
    <t>4 VINOTHILLAM</t>
  </si>
  <si>
    <t>6TH CROSS KRISHNA NAGAR</t>
  </si>
  <si>
    <t>DHARGA</t>
  </si>
  <si>
    <t>V MURUGESAN</t>
  </si>
  <si>
    <t>D NO 5/300 KAMARAJ NAGAR</t>
  </si>
  <si>
    <t>CHINNAELASAGIRI PO</t>
  </si>
  <si>
    <t>HOSUR TK KRISHNAGIRI DT</t>
  </si>
  <si>
    <t>ANITHA P</t>
  </si>
  <si>
    <t>DOOR NO 113</t>
  </si>
  <si>
    <t>CHINNAPALLIKUPAM</t>
  </si>
  <si>
    <t>VANIYAMPADI</t>
  </si>
  <si>
    <t>RAJESWARI. S</t>
  </si>
  <si>
    <t>32 A, LOGEE CHETTY STREET NO 1</t>
  </si>
  <si>
    <t>GUGAISALEM</t>
  </si>
  <si>
    <t>BALAMURUGAN E</t>
  </si>
  <si>
    <t>3-54,WARD-3</t>
  </si>
  <si>
    <t>ARUNDATHIYAR COLONY</t>
  </si>
  <si>
    <t>KONAGAPADI,KONAGAPADISALEM</t>
  </si>
  <si>
    <t>A SELVAKUMAR</t>
  </si>
  <si>
    <t>5/187 SOUTH PANANKADU</t>
  </si>
  <si>
    <t>POTTANAM POST</t>
  </si>
  <si>
    <t>SARAVANARAJ T</t>
  </si>
  <si>
    <t>OLD NO 117, NEW NO 4,</t>
  </si>
  <si>
    <t>SEKKILAR STREET,</t>
  </si>
  <si>
    <t>ERODE,TAMILNADU</t>
  </si>
  <si>
    <t>RAJU C</t>
  </si>
  <si>
    <t>VALLIYAPPA COUNDEN VALASU</t>
  </si>
  <si>
    <t>NARIKATTU THOTTAM</t>
  </si>
  <si>
    <t>THURAMBEDU,O.NO.5-32 N.NO.16</t>
  </si>
  <si>
    <t>MULANUR</t>
  </si>
  <si>
    <t>SANGEETHA S K</t>
  </si>
  <si>
    <t>OLD NO 12, NEW NO 12</t>
  </si>
  <si>
    <t>GURU NAGAR, THINDAL</t>
  </si>
  <si>
    <t>VALLIPURATHAN PALAYAM P O</t>
  </si>
  <si>
    <t>THIRUVENKATESWARAN.E.P</t>
  </si>
  <si>
    <t>46A, MARIAMMAAN KOIL STREET,</t>
  </si>
  <si>
    <t>ERUMAIKARAN PALAYAM,</t>
  </si>
  <si>
    <t>KADATHUR POST,GOBI(TK), ERODE (DT)</t>
  </si>
  <si>
    <t>R VISHANTH</t>
  </si>
  <si>
    <t>OLD NO 446 NEW NO 446</t>
  </si>
  <si>
    <t>JAWAHAR BAZAAR</t>
  </si>
  <si>
    <t>KARURKARUR</t>
  </si>
  <si>
    <t>RAJALAKSHMI A</t>
  </si>
  <si>
    <t>DOOR NO D 50</t>
  </si>
  <si>
    <t>KAGITHAPURAM COLONY</t>
  </si>
  <si>
    <t>THIRUKADU THURAI</t>
  </si>
  <si>
    <t>VENKATESAN. J</t>
  </si>
  <si>
    <t>D 11, TNPL HOUSING COLONY,</t>
  </si>
  <si>
    <t>KAGITHAPURAM,</t>
  </si>
  <si>
    <t>J JAYARAM</t>
  </si>
  <si>
    <t>HB 321 GANAPATHY MANAGAR WARD NO 72</t>
  </si>
  <si>
    <t>GANAPATHY EAST</t>
  </si>
  <si>
    <t>HUDCO COLONYCOIMBATORE TAMIL NADU</t>
  </si>
  <si>
    <t>SURESHKUMAR D</t>
  </si>
  <si>
    <t>NO 20</t>
  </si>
  <si>
    <t>BHARATHI NAGAR</t>
  </si>
  <si>
    <t>GANAPATHYCOIMBATORE</t>
  </si>
  <si>
    <t>MUTHUSAMY EASWARAMOORTHY</t>
  </si>
  <si>
    <t>CROSSCUT ROADCOIMBATORE</t>
  </si>
  <si>
    <t>PADMINI GOVINDAN</t>
  </si>
  <si>
    <t>C/O SUTHAN GOVINDAN</t>
  </si>
  <si>
    <t>IB DIVISIONCOIMBATORE</t>
  </si>
  <si>
    <t>SRINIVASAN MUKUNDAN</t>
  </si>
  <si>
    <t>SFD BLOCK II</t>
  </si>
  <si>
    <t>SAKTHI ISHWARYAM APARTMENTS</t>
  </si>
  <si>
    <t>DR AMBEDKAR ROAD VELANDIPALAYAMCOIMBATORE</t>
  </si>
  <si>
    <t>NIRMALA K</t>
  </si>
  <si>
    <t>O NO 0 N NO 22 AMMAN NAGAR SARAVANAM</t>
  </si>
  <si>
    <t>PATTI BACKSIDE TO GOWRI MEDICALS</t>
  </si>
  <si>
    <t>M RAJAVELU</t>
  </si>
  <si>
    <t>KAMATCHI ILLAM</t>
  </si>
  <si>
    <t>20 M V G STREET</t>
  </si>
  <si>
    <t>K K PUDUR, SAIBABA COLONYCOIMBATORE</t>
  </si>
  <si>
    <t>THIAGARAJAN R</t>
  </si>
  <si>
    <t>DOOR NO 4/12</t>
  </si>
  <si>
    <t>ELGI NAGAR PHASE 3</t>
  </si>
  <si>
    <t>MAGAR ALI STREET ,VELLALORE POSTCOIMBATORE</t>
  </si>
  <si>
    <t>P MARISELVAM .</t>
  </si>
  <si>
    <t>PRAVIN PRINTING COMPOUND</t>
  </si>
  <si>
    <t>80/C , C P N PALAYAM</t>
  </si>
  <si>
    <t>P P PUDUR</t>
  </si>
  <si>
    <t>SIVARAMAKRISHNAN S .</t>
  </si>
  <si>
    <t>5, IMAMKHAN STREET</t>
  </si>
  <si>
    <t>POLLACHI</t>
  </si>
  <si>
    <t>VENKATESAN R</t>
  </si>
  <si>
    <t>NO 55 S PONNAPURAM SAMATHUR PO</t>
  </si>
  <si>
    <t>COIMBATORE TAMILNADU</t>
  </si>
  <si>
    <t>K RAJARATHINAM</t>
  </si>
  <si>
    <t>B-33 NEW NO-190</t>
  </si>
  <si>
    <t>RAMASAMY NAGAR</t>
  </si>
  <si>
    <t>UDUMALPET</t>
  </si>
  <si>
    <t>A JAISINGH .</t>
  </si>
  <si>
    <t>6/77 NADUGUDALUR</t>
  </si>
  <si>
    <t>GUDALUR</t>
  </si>
  <si>
    <t>LALITHA K</t>
  </si>
  <si>
    <t>230/2 HEALTHY HALL</t>
  </si>
  <si>
    <t>WELLINGTON BARRACKS P O</t>
  </si>
  <si>
    <t>WELLINGTONNILGIRIS TAMILNADU</t>
  </si>
  <si>
    <t>R VENKATA SUBRAMANIAN</t>
  </si>
  <si>
    <t>1 63 JEGANNTHA MUDALIAR STREET</t>
  </si>
  <si>
    <t>WELLINGTON BAZAARWELLINGTON BAZAAR</t>
  </si>
  <si>
    <t>PUTHAN PURAYIL GOPALAN</t>
  </si>
  <si>
    <t>SOUVARNIKA</t>
  </si>
  <si>
    <t>ONDAYAN PARAMBA</t>
  </si>
  <si>
    <t>KANNURKERALA</t>
  </si>
  <si>
    <t>KRIPESH KRISHNAN V</t>
  </si>
  <si>
    <t>KRISHNA, OPP VAYANASALA</t>
  </si>
  <si>
    <t>THILANNUR</t>
  </si>
  <si>
    <t>KAPPAD (P.O)</t>
  </si>
  <si>
    <t>BALAKRISHNA VARIAR</t>
  </si>
  <si>
    <t>'DEVI KRISHNA'</t>
  </si>
  <si>
    <t>KAPPANAPPARAMBA</t>
  </si>
  <si>
    <t>MELECHOVVAKANNUR, KERALA</t>
  </si>
  <si>
    <t>JINITH JAYARAJAN</t>
  </si>
  <si>
    <t>211, KELOTH HOUSE</t>
  </si>
  <si>
    <t>3 EDAKKAD PANCHAYAT</t>
  </si>
  <si>
    <t>PREMNATH M V</t>
  </si>
  <si>
    <t>KUNNUMMAL HOUSE</t>
  </si>
  <si>
    <t>AZHIKODE SOUTH PO</t>
  </si>
  <si>
    <t>KANNURKANNUR</t>
  </si>
  <si>
    <t>GIRISH K</t>
  </si>
  <si>
    <t>KALLALATHIL</t>
  </si>
  <si>
    <t>CHALAD PO</t>
  </si>
  <si>
    <t>PADANNAPPA</t>
  </si>
  <si>
    <t>KRISHNAN VALIAVALAPPIL</t>
  </si>
  <si>
    <t>KRISHNA, OPP VAYANA SALA</t>
  </si>
  <si>
    <t>THILANNORE, PO.KAPPAD</t>
  </si>
  <si>
    <t>MUNEERA AHMED SAHIR</t>
  </si>
  <si>
    <t>AMEENA MANZIL</t>
  </si>
  <si>
    <t>THALASERRYKANNUR</t>
  </si>
  <si>
    <t>THALASSERY</t>
  </si>
  <si>
    <t>SUJITH KUMAR K .</t>
  </si>
  <si>
    <t>319 A (38/267)</t>
  </si>
  <si>
    <t>SANJU VILLA</t>
  </si>
  <si>
    <t>28 TEMPLE GATE</t>
  </si>
  <si>
    <t>ASHOK KUMAR</t>
  </si>
  <si>
    <t>VANISREE NILAYAM</t>
  </si>
  <si>
    <t>P O PERUNTHATTIL</t>
  </si>
  <si>
    <t>TELLICHERRY</t>
  </si>
  <si>
    <t>SHELLY THOMAS K</t>
  </si>
  <si>
    <t>S/O KURIAKOSE</t>
  </si>
  <si>
    <t>OZHUKAYIL HOUSE</t>
  </si>
  <si>
    <t>PUSHPAGIRI TALIPARAMBAKANNUR</t>
  </si>
  <si>
    <t>SREEJAN C K</t>
  </si>
  <si>
    <t>ASST.PROFESSOR</t>
  </si>
  <si>
    <t>DEPT OF PROSTHODONTICS</t>
  </si>
  <si>
    <t>PARIYARAM DENTAL COLLEGEMEDICAL COLLEGE PO,PAYYANNUR</t>
  </si>
  <si>
    <t>SURESH U K .</t>
  </si>
  <si>
    <t>UCHOLI KUNNUMMAL HOUSE</t>
  </si>
  <si>
    <t>ERAMAM P.O.</t>
  </si>
  <si>
    <t>PAYYANUR,KANNUR</t>
  </si>
  <si>
    <t>PAYYANUR</t>
  </si>
  <si>
    <t>MANOHARAN MOYOT VALAPPIL .</t>
  </si>
  <si>
    <t>KALLETTUM KADAVE</t>
  </si>
  <si>
    <t>RAMANTHALI POST</t>
  </si>
  <si>
    <t>T J SALEYERS .</t>
  </si>
  <si>
    <t>ETTUKADUKKA P O</t>
  </si>
  <si>
    <t>KARIVELLUR VIA</t>
  </si>
  <si>
    <t>PURUSHOTHAMAN C .</t>
  </si>
  <si>
    <t>SHANTHI BHAVAN</t>
  </si>
  <si>
    <t>WEST MANGAD</t>
  </si>
  <si>
    <t>P O KANNUR UNIVERSITY CAMPUS</t>
  </si>
  <si>
    <t>SHRUTHI RAVINDRAN</t>
  </si>
  <si>
    <t>CHAITHRAM</t>
  </si>
  <si>
    <t>MANNUTHY P O</t>
  </si>
  <si>
    <t>OLLUKKARA</t>
  </si>
  <si>
    <t>VIJAYAN K V .</t>
  </si>
  <si>
    <t>KOROTH VALAPPIL(H)</t>
  </si>
  <si>
    <t>KOOVERI P O</t>
  </si>
  <si>
    <t>CHAPPARAPADAVU</t>
  </si>
  <si>
    <t>SUDEEP K</t>
  </si>
  <si>
    <t>KANIVANKANDY HOUSE</t>
  </si>
  <si>
    <t>EACHURE</t>
  </si>
  <si>
    <t>MUNNA RAMACHANDRAN</t>
  </si>
  <si>
    <t>D1 QUARTERS 110 K V SUB</t>
  </si>
  <si>
    <t>STATION COLONY</t>
  </si>
  <si>
    <t>MUNDAYAD PO</t>
  </si>
  <si>
    <t>NARAYANAN M V .</t>
  </si>
  <si>
    <t>SHYAMALAYAM</t>
  </si>
  <si>
    <t>KARINKAL KUZHI</t>
  </si>
  <si>
    <t>KOLACHERY POST</t>
  </si>
  <si>
    <t>RAJESH P.E</t>
  </si>
  <si>
    <t>PATTANNUR EDATHIL</t>
  </si>
  <si>
    <t>VAYAKKARA SREEKANDAPURAM</t>
  </si>
  <si>
    <t>KAITHAPRAMKERALA</t>
  </si>
  <si>
    <t>PREJU K PAUL</t>
  </si>
  <si>
    <t>KAKKANATTU HOUSE</t>
  </si>
  <si>
    <t>3/759 8/987 CHEMPERI P O</t>
  </si>
  <si>
    <t>ERUVESSY PANCHAYATH</t>
  </si>
  <si>
    <t>CHEMPERI</t>
  </si>
  <si>
    <t>PUTHAN VEETTIL HARIDASAN .</t>
  </si>
  <si>
    <t>PUTHAN VEEDU</t>
  </si>
  <si>
    <t>ERUVATTY P O</t>
  </si>
  <si>
    <t>SHAJI N. K.</t>
  </si>
  <si>
    <t>PULARI</t>
  </si>
  <si>
    <t>EAST KADIRUR</t>
  </si>
  <si>
    <t>LATHEESH MANAPADAN .</t>
  </si>
  <si>
    <t>AISWARYA</t>
  </si>
  <si>
    <t>MANGATTIDAM P O</t>
  </si>
  <si>
    <t>PRASANTH E</t>
  </si>
  <si>
    <t>USHUS</t>
  </si>
  <si>
    <t>THRISSILERY .P .O</t>
  </si>
  <si>
    <t>MANANTHAVADYWAYANAD</t>
  </si>
  <si>
    <t>RAMESH KUMAR N</t>
  </si>
  <si>
    <t>SWATHI</t>
  </si>
  <si>
    <t>P.O.UMMENCHIRA</t>
  </si>
  <si>
    <t>SUNIL V. P.</t>
  </si>
  <si>
    <t>KRISHNA PRIYA HOUSE</t>
  </si>
  <si>
    <t>EAST PALLOOR</t>
  </si>
  <si>
    <t>P. O. CHOCKLIMAHE</t>
  </si>
  <si>
    <t>PUSHPARAJAN KARAYIL</t>
  </si>
  <si>
    <t>KARAYIL MEETHAL HOUSE</t>
  </si>
  <si>
    <t>ANIYARAM PO CHOKLI-VIA</t>
  </si>
  <si>
    <t>THALASS</t>
  </si>
  <si>
    <t>PRAKASAN P K</t>
  </si>
  <si>
    <t>PUTHANPURAYAKKAL</t>
  </si>
  <si>
    <t>KELAKAM P O</t>
  </si>
  <si>
    <t>KANNUR, KERALA</t>
  </si>
  <si>
    <t>VINESH SREENIVASAN</t>
  </si>
  <si>
    <t>NAVANEETHAM</t>
  </si>
  <si>
    <t>POST KOTTAYAM POIL</t>
  </si>
  <si>
    <t>KUTHUPARAMBA</t>
  </si>
  <si>
    <t>DINESH A .</t>
  </si>
  <si>
    <t>ANIYAPURATH HOUSE</t>
  </si>
  <si>
    <t>POST CHAMPAD</t>
  </si>
  <si>
    <t>KANNUR DIST</t>
  </si>
  <si>
    <t>K UNNIKRISHNAN</t>
  </si>
  <si>
    <t>VAISHNAVAM</t>
  </si>
  <si>
    <t>NEAR GOVT HOSPITAL</t>
  </si>
  <si>
    <t>MATTANNURKANNUR, KERALA</t>
  </si>
  <si>
    <t>SMITHA C V</t>
  </si>
  <si>
    <t>SAFALYAM</t>
  </si>
  <si>
    <t>THILLENKERY</t>
  </si>
  <si>
    <t>THILLENKERYKANNUR</t>
  </si>
  <si>
    <t>REGI JOHN M</t>
  </si>
  <si>
    <t>MELAZHAKATH HOUSE</t>
  </si>
  <si>
    <t>PAYAM VELIMANAM P O</t>
  </si>
  <si>
    <t>GIRIJA P V</t>
  </si>
  <si>
    <t>CHATHANKAI KIZHAKKEKARA HOUSE</t>
  </si>
  <si>
    <t>PO CHANDRAGIRI</t>
  </si>
  <si>
    <t>NARAYANA GATTY K .</t>
  </si>
  <si>
    <t>KALLANGADI HOSAMANA</t>
  </si>
  <si>
    <t>KUDLU POST</t>
  </si>
  <si>
    <t>ASWIN REGHUNATH .</t>
  </si>
  <si>
    <t>325 (8/372) 8 KUDLU</t>
  </si>
  <si>
    <t>GP MOGRAL</t>
  </si>
  <si>
    <t>PUTHUR</t>
  </si>
  <si>
    <t>SURENDRA KUMAR K .</t>
  </si>
  <si>
    <t>GUDDEY TEMPLE ROAD</t>
  </si>
  <si>
    <t>P V SATHEESAN</t>
  </si>
  <si>
    <t>PAVOOR VEETTIL</t>
  </si>
  <si>
    <t>EDAYILAKAD</t>
  </si>
  <si>
    <t>VALIYAPARAMBA P OKASARAGOD, KERALA</t>
  </si>
  <si>
    <t>V K KARUNAKARAN</t>
  </si>
  <si>
    <t>VALIYAKUTHIRUMMAL HOUSE</t>
  </si>
  <si>
    <t>EDAYILEKAD</t>
  </si>
  <si>
    <t>MANOJ KUMAR M</t>
  </si>
  <si>
    <t>THAYATH HOUSE</t>
  </si>
  <si>
    <t>KUTTAMATH</t>
  </si>
  <si>
    <t>CHERUVATHUR P O</t>
  </si>
  <si>
    <t>KASARGOD</t>
  </si>
  <si>
    <t>ORCHA MOHANKUMAR</t>
  </si>
  <si>
    <t>D NO 23/252</t>
  </si>
  <si>
    <t>PRASHANTHI</t>
  </si>
  <si>
    <t>OZHINHAVALLAPPU-POSTNILESHWAR</t>
  </si>
  <si>
    <t>K KALAVATHI .</t>
  </si>
  <si>
    <t>PREETHI GANESH</t>
  </si>
  <si>
    <t>DEVAN ROAD</t>
  </si>
  <si>
    <t>KANHANGAD KASARAGOD</t>
  </si>
  <si>
    <t>K SOORYA NARAYANA MAYYA</t>
  </si>
  <si>
    <t>PADINAGAR HOUSE</t>
  </si>
  <si>
    <t>MOODAMBAIL P O</t>
  </si>
  <si>
    <t>MANJESHWAR VIAKASARAGOD, KERALA</t>
  </si>
  <si>
    <t>MADHAVAN NAMBOODIRI</t>
  </si>
  <si>
    <t>PUTHILOT NEELAMANA</t>
  </si>
  <si>
    <t>KODAKKAT P O, TRIKKARPUR VIA</t>
  </si>
  <si>
    <t>KASARGOD DIST</t>
  </si>
  <si>
    <t>GANGADHARAN K V</t>
  </si>
  <si>
    <t>KUYIL VEEDU P O</t>
  </si>
  <si>
    <t>BALLA</t>
  </si>
  <si>
    <t>CHANDRAN PERA .</t>
  </si>
  <si>
    <t>MARUTHAKKARA HOUSE</t>
  </si>
  <si>
    <t>P O MUNNAD, VIA CHENGALA</t>
  </si>
  <si>
    <t>KASARAGOD WEF 19/4/90</t>
  </si>
  <si>
    <t>JAYA .</t>
  </si>
  <si>
    <t>VATTAPARA HOUSE</t>
  </si>
  <si>
    <t>MUNNAD P O</t>
  </si>
  <si>
    <t>K PRASAD</t>
  </si>
  <si>
    <t>SREE NILAYAM</t>
  </si>
  <si>
    <t>MULLERIA</t>
  </si>
  <si>
    <t>B ABDULLA SAGAR</t>
  </si>
  <si>
    <t>PO THEKKIL</t>
  </si>
  <si>
    <t>UNNEENKUTTY .T .</t>
  </si>
  <si>
    <t>THAVALENGAL HOUSE</t>
  </si>
  <si>
    <t>THIRUKKAD P.O</t>
  </si>
  <si>
    <t>VISWANATHAN K</t>
  </si>
  <si>
    <t>Q. NO. 71 C</t>
  </si>
  <si>
    <t>KOZHIKODEKOZHIKODE</t>
  </si>
  <si>
    <t>P V SUNIL KUMAR</t>
  </si>
  <si>
    <t>5/1701, ASOKAPURAM ROAD</t>
  </si>
  <si>
    <t>THALIYAR, VAYALNILAM</t>
  </si>
  <si>
    <t>KOZHIKODE DISTKERALA</t>
  </si>
  <si>
    <t>SATISH CHANDRAN.P</t>
  </si>
  <si>
    <t>1/3487, EAST HILL ROAD</t>
  </si>
  <si>
    <t>YASAR ARAFATH P</t>
  </si>
  <si>
    <t>MUNEERA MANZIL</t>
  </si>
  <si>
    <t>MANKAVU</t>
  </si>
  <si>
    <t>KOZHIKODE, KERALA</t>
  </si>
  <si>
    <t>JEEJA DINESH</t>
  </si>
  <si>
    <t>AMBADI 32/2556 A</t>
  </si>
  <si>
    <t>CHALIL PURAYIL PARAMBA</t>
  </si>
  <si>
    <t>P O KOTTAMPARAMBAKERALA</t>
  </si>
  <si>
    <t>MOOTHORAKUTTY A P</t>
  </si>
  <si>
    <t>E W S 175</t>
  </si>
  <si>
    <t>KSHB COLONY</t>
  </si>
  <si>
    <t>MALAPARAMBA</t>
  </si>
  <si>
    <t>VINEETH KUMAR K</t>
  </si>
  <si>
    <t>KARA COTTAGE</t>
  </si>
  <si>
    <t>KARAPARAMBA</t>
  </si>
  <si>
    <t>KARAPARAMBACALICUT</t>
  </si>
  <si>
    <t>RADHAKRISHNAKURUP M C</t>
  </si>
  <si>
    <t>37/564 MADHURAVANAM</t>
  </si>
  <si>
    <t>KARUVISSERY POST</t>
  </si>
  <si>
    <t>CALICUTKERALA</t>
  </si>
  <si>
    <t>GRACY SEBASTIAN</t>
  </si>
  <si>
    <t>JOVIAL</t>
  </si>
  <si>
    <t>NADUVATTAM P.O</t>
  </si>
  <si>
    <t>BEYPORECALICUT</t>
  </si>
  <si>
    <t>ARAKKINAR</t>
  </si>
  <si>
    <t>BEYPORE</t>
  </si>
  <si>
    <t>ARJAN KRISHNAN</t>
  </si>
  <si>
    <t>EZHIKOT HOUSE</t>
  </si>
  <si>
    <t>OLAVANNA P O</t>
  </si>
  <si>
    <t>OLAVANNA P OCALICUT</t>
  </si>
  <si>
    <t>MURALEEDHARAN K A .</t>
  </si>
  <si>
    <t>6/112 A, KORAMBATH ATHIKKATT</t>
  </si>
  <si>
    <t>KAMLESH PATEL</t>
  </si>
  <si>
    <t>1ST FLOOR, PRABHA APARTMENTS</t>
  </si>
  <si>
    <t>ZILLA COMPOUND</t>
  </si>
  <si>
    <t>P.T.USHA ROAD, CALICUTKERALA</t>
  </si>
  <si>
    <t>MANAKKATHODI VASUDEVAN .</t>
  </si>
  <si>
    <t>MANAKKATHODI HOUSE</t>
  </si>
  <si>
    <t>CHALAVARA P O</t>
  </si>
  <si>
    <t>OTTAPALAM</t>
  </si>
  <si>
    <t>KRISHNAN V V</t>
  </si>
  <si>
    <t>KRIPA H O</t>
  </si>
  <si>
    <t>MEPPAYIL P O</t>
  </si>
  <si>
    <t>VATAKARA</t>
  </si>
  <si>
    <t>BINDHU C .</t>
  </si>
  <si>
    <t>INDIVARAM HOUSE</t>
  </si>
  <si>
    <t>PUTHOORVAYAL P O</t>
  </si>
  <si>
    <t>SHYJAL K C</t>
  </si>
  <si>
    <t>JAMSHEER MANZIL</t>
  </si>
  <si>
    <t>KALPETTA PO WINDA</t>
  </si>
  <si>
    <t>KAMAL KUMAR P E .</t>
  </si>
  <si>
    <t>ODAMPATH HOUSE</t>
  </si>
  <si>
    <t>MANIYANKODE</t>
  </si>
  <si>
    <t>KALPETTA</t>
  </si>
  <si>
    <t>THULASI</t>
  </si>
  <si>
    <t>JAWAHAR NAVODAYA VIDYALAYA,</t>
  </si>
  <si>
    <t>PALAYAD NADAVATAKARA KOZHIKODE DIST</t>
  </si>
  <si>
    <t>USHA U</t>
  </si>
  <si>
    <t>PREETH</t>
  </si>
  <si>
    <t>MUCHUKUNNU P O</t>
  </si>
  <si>
    <t>KOYILANDYKOZHIKODE</t>
  </si>
  <si>
    <t>KOYILANDY</t>
  </si>
  <si>
    <t>SUGATHAKUMARI .</t>
  </si>
  <si>
    <t>743/10 KURIYODATH</t>
  </si>
  <si>
    <t>KADALUNDI</t>
  </si>
  <si>
    <t>CHATHU AREEKKANDY</t>
  </si>
  <si>
    <t>AREEKANDY</t>
  </si>
  <si>
    <t>ORKKATTERY PO</t>
  </si>
  <si>
    <t>VATAKARAKOZHIKODE</t>
  </si>
  <si>
    <t>SREELIMA SREEDHARAN .</t>
  </si>
  <si>
    <t>SREEPADAM</t>
  </si>
  <si>
    <t>ORKKATTERI P O, VATAKARA</t>
  </si>
  <si>
    <t>ABDUL HAMEED</t>
  </si>
  <si>
    <t>PALLITHAZHA KUNIYIL HOUSE</t>
  </si>
  <si>
    <t>KODANCHERI</t>
  </si>
  <si>
    <t>NADAPURAMKOZHIKODE, KERALA</t>
  </si>
  <si>
    <t>KUTHALI PARAMBATH SETHUMADHAVAN</t>
  </si>
  <si>
    <t>RADHALAYAM HOUSE</t>
  </si>
  <si>
    <t>KALLACHI POST</t>
  </si>
  <si>
    <t>SHAJITH P E</t>
  </si>
  <si>
    <t>PATINHARE ERENHIKKAL HO</t>
  </si>
  <si>
    <t>KOTTAKKAL PO IRINGAL</t>
  </si>
  <si>
    <t>CALICUT KERALAINDIA</t>
  </si>
  <si>
    <t>BABIJA SHAJI</t>
  </si>
  <si>
    <t>PERUVOLIKUNI ARYAVIHAR</t>
  </si>
  <si>
    <t>AYANIKKAD IRINGAL</t>
  </si>
  <si>
    <t>ASWIN .</t>
  </si>
  <si>
    <t>126 124 ERAVATH MEETHAL</t>
  </si>
  <si>
    <t>KUNHUNNI 9 MUDUVANA PO</t>
  </si>
  <si>
    <t>MANIYUR</t>
  </si>
  <si>
    <t>SUDHEENDRAN A K</t>
  </si>
  <si>
    <t>THACHAROTH HOUSE,</t>
  </si>
  <si>
    <t>MEPPYOOR MUYIPPOTH</t>
  </si>
  <si>
    <t>MOHANAN KOTTOTH</t>
  </si>
  <si>
    <t>KOTTOTH</t>
  </si>
  <si>
    <t>CHERUVANNUR</t>
  </si>
  <si>
    <t>AJESH K</t>
  </si>
  <si>
    <t>MADATHIL HOUSE</t>
  </si>
  <si>
    <t>PERAMBRAKOZHIKODE</t>
  </si>
  <si>
    <t>THANKACHAN K J</t>
  </si>
  <si>
    <t>KALAMUNDAYIL H</t>
  </si>
  <si>
    <t>CHAKKITTAPARA PO KAYANNA</t>
  </si>
  <si>
    <t>KUNHIRAMAN</t>
  </si>
  <si>
    <t>85 KUROOLI KUNI 1</t>
  </si>
  <si>
    <t>MOODADI</t>
  </si>
  <si>
    <t>KOZHIKKODEKOZHIKKODE</t>
  </si>
  <si>
    <t>GOVINDAN V P .</t>
  </si>
  <si>
    <t>VELLAPPARAKKAL HOUSE</t>
  </si>
  <si>
    <t>KOOTHALI P O</t>
  </si>
  <si>
    <t>Jamal Muhammad P K</t>
  </si>
  <si>
    <t>Thengakalathil (H)</t>
  </si>
  <si>
    <t>Velimanna (PO)</t>
  </si>
  <si>
    <t>Thamarassery (Via)Calicut</t>
  </si>
  <si>
    <t>ASOKAN K.</t>
  </si>
  <si>
    <t>VADAKKU VEETTIL HOUSE</t>
  </si>
  <si>
    <t>UNNIKULAM P. O.</t>
  </si>
  <si>
    <t>INDIRA K. P.</t>
  </si>
  <si>
    <t>THEKKEPURAYIL</t>
  </si>
  <si>
    <t>EKAROOL</t>
  </si>
  <si>
    <t>UNNIKULAMCALICUT</t>
  </si>
  <si>
    <t>SAJESH .</t>
  </si>
  <si>
    <t>PALANCHERY</t>
  </si>
  <si>
    <t>NATHAMKUNI</t>
  </si>
  <si>
    <t>MEPPADI</t>
  </si>
  <si>
    <t>MANOJ</t>
  </si>
  <si>
    <t>CHALIYEKKARA HOUSE</t>
  </si>
  <si>
    <t>PARANNUR P O</t>
  </si>
  <si>
    <t>NARIKKUNICALICUT</t>
  </si>
  <si>
    <t>GOWRI .</t>
  </si>
  <si>
    <t>SREETHILAK</t>
  </si>
  <si>
    <t>MEENANGADI</t>
  </si>
  <si>
    <t>SOORYA BABU</t>
  </si>
  <si>
    <t>PUTHAYAMKUNNU</t>
  </si>
  <si>
    <t>KOLAGAPPARA</t>
  </si>
  <si>
    <t>POST MEENANGADYSULTHAN BATHERY</t>
  </si>
  <si>
    <t>ARAVINDAN K T .</t>
  </si>
  <si>
    <t>KUNDOTTIL HOUSE</t>
  </si>
  <si>
    <t>POOTHIKAD</t>
  </si>
  <si>
    <t>POOMALA P O</t>
  </si>
  <si>
    <t>MINI A G</t>
  </si>
  <si>
    <t>MAJAKKATTUVALAVIL HOUSE</t>
  </si>
  <si>
    <t>ABUKUTHY MUTTIL POST</t>
  </si>
  <si>
    <t>PRABHA K A</t>
  </si>
  <si>
    <t>KARIMBOLIL HOUSE</t>
  </si>
  <si>
    <t>CHOOTHUPARA P O</t>
  </si>
  <si>
    <t>KENICHIRASULTHAN BATHERY</t>
  </si>
  <si>
    <t>RAJU P .</t>
  </si>
  <si>
    <t>PANNIKKOTTUTHODIYIL HOUSE</t>
  </si>
  <si>
    <t>P O PANNIKKODE</t>
  </si>
  <si>
    <t>VIA MUKKAM</t>
  </si>
  <si>
    <t>IRFAN .</t>
  </si>
  <si>
    <t>NAMBUTHODI HOUSE</t>
  </si>
  <si>
    <t>CHENNAMANGALLUR</t>
  </si>
  <si>
    <t>PO CHENNAMANGALLUR MOKKAM</t>
  </si>
  <si>
    <t>PIAUS GEORGE</t>
  </si>
  <si>
    <t>NEDUKOMPIL HOUSE</t>
  </si>
  <si>
    <t>PONNAMKAYAM</t>
  </si>
  <si>
    <t>PULLURAMPARA (P.O)KOZHIKODE</t>
  </si>
  <si>
    <t>ANANDAN A.</t>
  </si>
  <si>
    <t>THEERTHA KUZHICHALIL</t>
  </si>
  <si>
    <t>KARUMALA P. O.</t>
  </si>
  <si>
    <t>BALUSSERY</t>
  </si>
  <si>
    <t>RADHIKA GANGADHAR K P</t>
  </si>
  <si>
    <t>314/460/4 PARVATHY NIVAS</t>
  </si>
  <si>
    <t>KAKKUR POST KAKKUR KOZHIKODE</t>
  </si>
  <si>
    <t>SAKEER HUSSAIN K V</t>
  </si>
  <si>
    <t>KAITHAVALAPPIL</t>
  </si>
  <si>
    <t>KANNANKARA</t>
  </si>
  <si>
    <t>PO CHELANNURCALICUT</t>
  </si>
  <si>
    <t>SREEJITH M</t>
  </si>
  <si>
    <t>POOTHALEDATH</t>
  </si>
  <si>
    <t>MAKKADA</t>
  </si>
  <si>
    <t>KAKKODI</t>
  </si>
  <si>
    <t>BINU K V .</t>
  </si>
  <si>
    <t>KOROTH KUNIYIL HOUSE</t>
  </si>
  <si>
    <t>KOYILANDI</t>
  </si>
  <si>
    <t>ARIKKULAM NADERI</t>
  </si>
  <si>
    <t>BABU K</t>
  </si>
  <si>
    <t>KODAKKADAN HOUSE</t>
  </si>
  <si>
    <t>CHERUVANNUR,</t>
  </si>
  <si>
    <t>FEROKE PO</t>
  </si>
  <si>
    <t>DHANEESH .</t>
  </si>
  <si>
    <t>DHANYA NIVAS,</t>
  </si>
  <si>
    <t>P.O.RAMANATTUKARA,</t>
  </si>
  <si>
    <t>NECHITHODI ANILKUMAR</t>
  </si>
  <si>
    <t>SARGAM HOUSE</t>
  </si>
  <si>
    <t>KIZHUPARAMBA</t>
  </si>
  <si>
    <t>KIZHUPARMBA P OAREACODE</t>
  </si>
  <si>
    <t>AREACODE</t>
  </si>
  <si>
    <t>AMBILI .</t>
  </si>
  <si>
    <t>VANNILA PARAMBATH KARUPPATH</t>
  </si>
  <si>
    <t>MAITHRA P.O.</t>
  </si>
  <si>
    <t>AREA CODE</t>
  </si>
  <si>
    <t>SREEJITH T</t>
  </si>
  <si>
    <t>CHAITHANYAM</t>
  </si>
  <si>
    <t>CHENGARA</t>
  </si>
  <si>
    <t>IRIVETTY POSTMANJERI</t>
  </si>
  <si>
    <t>MANJERI</t>
  </si>
  <si>
    <t>RAJAN A T .</t>
  </si>
  <si>
    <t>AMBALATHODY (H)</t>
  </si>
  <si>
    <t>THRIKALAYOOR KIZHUPARAMBA</t>
  </si>
  <si>
    <t>VALILLAPUZHA</t>
  </si>
  <si>
    <t>MOHAMMED NAJAR HUSSAIN</t>
  </si>
  <si>
    <t>KARANGATAN HOUSE VALLIKKAPPATTA</t>
  </si>
  <si>
    <t>PO MANKADA PALLIPURAM</t>
  </si>
  <si>
    <t>MALAPPURAM KERALAINDIA</t>
  </si>
  <si>
    <t>VERGHESE VALIYAVEETTIL ANTHAPPAN</t>
  </si>
  <si>
    <t>S S LODGE,</t>
  </si>
  <si>
    <t>KUZHIMANNA,</t>
  </si>
  <si>
    <t>MALAPPURAM,</t>
  </si>
  <si>
    <t>SUNIL JOB M J</t>
  </si>
  <si>
    <t>GRACE BHAVAN</t>
  </si>
  <si>
    <t>KARUVANTHIRUTHY</t>
  </si>
  <si>
    <t>KARUVANTHIRUTHI P OKOZHIKODE</t>
  </si>
  <si>
    <t>SUDHESH KALATHIL .</t>
  </si>
  <si>
    <t>PAROOR HOUSE</t>
  </si>
  <si>
    <t>EZHUR</t>
  </si>
  <si>
    <t>TIRUR P O</t>
  </si>
  <si>
    <t>CHIRAPARAMBAN ABOOBACKER</t>
  </si>
  <si>
    <t>CHIRAPARAMBAN HOUSE</t>
  </si>
  <si>
    <t>BEHIND MUNICIPAL OFFICE A MAJERI</t>
  </si>
  <si>
    <t>MALAPURAMKERALA</t>
  </si>
  <si>
    <t>OMANAKUTTAN</t>
  </si>
  <si>
    <t>JYOTHI BHAVAN</t>
  </si>
  <si>
    <t>PULLENCHERI P.O</t>
  </si>
  <si>
    <t>MANJERI 2 , MALAPPURAM DT.KERALA</t>
  </si>
  <si>
    <t>ABDUL SALAM P</t>
  </si>
  <si>
    <t>JAMEELA MANZIL</t>
  </si>
  <si>
    <t>KARUVAMBRUM</t>
  </si>
  <si>
    <t>MANJERIMALAPPURAM, KERALA</t>
  </si>
  <si>
    <t>RADHA KRISHNAN K</t>
  </si>
  <si>
    <t>281-B SOPANAM</t>
  </si>
  <si>
    <t>ATHANI</t>
  </si>
  <si>
    <t>KARUVAMBRAM</t>
  </si>
  <si>
    <t>JASMINE M</t>
  </si>
  <si>
    <t>SANOOSKOTTA,</t>
  </si>
  <si>
    <t>PATHIPIRIYAM</t>
  </si>
  <si>
    <t>ARUN PADMANABHAN</t>
  </si>
  <si>
    <t>ARUNA HOUSE</t>
  </si>
  <si>
    <t>TANUR POST</t>
  </si>
  <si>
    <t>TANUR</t>
  </si>
  <si>
    <t>PRAGEETH K</t>
  </si>
  <si>
    <t>PREMGANGA CHETTIPPADI PO</t>
  </si>
  <si>
    <t>PARAPPANANGADI</t>
  </si>
  <si>
    <t>MURALI K V</t>
  </si>
  <si>
    <t>KAMMADAN VEETIL</t>
  </si>
  <si>
    <t>NEW STREET</t>
  </si>
  <si>
    <t>CHETTIPADI</t>
  </si>
  <si>
    <t>ABDUL NASAR .</t>
  </si>
  <si>
    <t>KANNATTI HOUSE</t>
  </si>
  <si>
    <t>PONMALA</t>
  </si>
  <si>
    <t>ABDUL NASAR</t>
  </si>
  <si>
    <t>PONMALA PO</t>
  </si>
  <si>
    <t>MUTTIPALAMMALAPPURAM</t>
  </si>
  <si>
    <t>KODALIL ABDUL NAZAR</t>
  </si>
  <si>
    <t>KODALIL HOUSE</t>
  </si>
  <si>
    <t>PARAMMALANGADI P.O.</t>
  </si>
  <si>
    <t>C P JOSE</t>
  </si>
  <si>
    <t>CHERUKARA 7</t>
  </si>
  <si>
    <t>VALANCHERY</t>
  </si>
  <si>
    <t>MOHAMMED P</t>
  </si>
  <si>
    <t>PALLIYALIL HOUSE</t>
  </si>
  <si>
    <t>VALIYAKUNNU PO</t>
  </si>
  <si>
    <t>ABDULLA K K</t>
  </si>
  <si>
    <t>KOLLARKUZHIL HOUSE</t>
  </si>
  <si>
    <t>MARAKKARA PO KADAMPUZHA</t>
  </si>
  <si>
    <t>ABDUL RAZACK T P</t>
  </si>
  <si>
    <t>THADATHIL PARANB THANIMA FABRICS</t>
  </si>
  <si>
    <t>KADAMPUZHA</t>
  </si>
  <si>
    <t>HARIDAS</t>
  </si>
  <si>
    <t>PUTHUMANAMADAM</t>
  </si>
  <si>
    <t>KADAMPUZHA PO</t>
  </si>
  <si>
    <t>AKHIL K</t>
  </si>
  <si>
    <t>RAMANEEYAM</t>
  </si>
  <si>
    <t>PACHATTIRI PO TIRUR</t>
  </si>
  <si>
    <t>KRISHNADAS.P</t>
  </si>
  <si>
    <t>MADHOOTTY</t>
  </si>
  <si>
    <t>PALACE BUILDINGS</t>
  </si>
  <si>
    <t>G B ROADPALAKKAD</t>
  </si>
  <si>
    <t>SREELATHA V</t>
  </si>
  <si>
    <t>SANATHANA H-41</t>
  </si>
  <si>
    <t>A K G NAGAR</t>
  </si>
  <si>
    <t>WEST YAKKARAPALAKKAD</t>
  </si>
  <si>
    <t>UNNIKRISHNAN K K</t>
  </si>
  <si>
    <t>KOROMPARAMBIL HOUSE</t>
  </si>
  <si>
    <t>KALLIKKAD KALAM</t>
  </si>
  <si>
    <t>PANIKKASSERY BAHULEYAN VIJAYAN</t>
  </si>
  <si>
    <t>BEEJEES</t>
  </si>
  <si>
    <t>KODUNTHIRAPULLY</t>
  </si>
  <si>
    <t>PUDUR PALAKKAD</t>
  </si>
  <si>
    <t>BIJI THOZHUTHINGAL PADMANABHAN</t>
  </si>
  <si>
    <t>BEEJEES POODOOR,</t>
  </si>
  <si>
    <t>KODUNTHIRAPULLY P.O,</t>
  </si>
  <si>
    <t>PIRAYIRI,</t>
  </si>
  <si>
    <t>KRISHNADAS A</t>
  </si>
  <si>
    <t>APPUKUTTY MOOTHAN</t>
  </si>
  <si>
    <t>SHIVAJI ROAD</t>
  </si>
  <si>
    <t>KARNAKI NAGARPALAKKAD</t>
  </si>
  <si>
    <t>SANKARANKUTTY K</t>
  </si>
  <si>
    <t>MANGOTTU HOUSE</t>
  </si>
  <si>
    <t>VADAKKANTHARA PO</t>
  </si>
  <si>
    <t>PALAKKAD KERALA</t>
  </si>
  <si>
    <t>K B SANJEEV .</t>
  </si>
  <si>
    <t>16/641 (24/175/2)</t>
  </si>
  <si>
    <t>ARCHANA AISWARYA NAGAR</t>
  </si>
  <si>
    <t>KUNNATHURMEDU P O</t>
  </si>
  <si>
    <t>GIRISH T R .</t>
  </si>
  <si>
    <t>THEKKOOT HOUSE</t>
  </si>
  <si>
    <t>ETHANUR</t>
  </si>
  <si>
    <t>PRAVEEN N .</t>
  </si>
  <si>
    <t>GANGA</t>
  </si>
  <si>
    <t>PAYYALORE</t>
  </si>
  <si>
    <t>KOLLENGODE P O</t>
  </si>
  <si>
    <t>SUMESH P</t>
  </si>
  <si>
    <t>AMBATTUKULAMBU HOUSE</t>
  </si>
  <si>
    <t>VANDITHAVALAM</t>
  </si>
  <si>
    <t>VINU K GEORGE .</t>
  </si>
  <si>
    <t>KALANGOTTIL HOUSE</t>
  </si>
  <si>
    <t>PYARIJAN M</t>
  </si>
  <si>
    <t>CHERUMKODE</t>
  </si>
  <si>
    <t>KAVASSERI</t>
  </si>
  <si>
    <t>KAVASSERIPALAKKAD</t>
  </si>
  <si>
    <t>RAJESH KUMAR S</t>
  </si>
  <si>
    <t>PALLATHU HOUSE</t>
  </si>
  <si>
    <t>THENARI PARAMBU, PO-PULLODE</t>
  </si>
  <si>
    <t>THRIPPALUR</t>
  </si>
  <si>
    <t>KRISHNAKUMAR K C</t>
  </si>
  <si>
    <t>KAVUNGAL HOUSE</t>
  </si>
  <si>
    <t>VARIYATH LINE</t>
  </si>
  <si>
    <t>NALLEPILLY P OPALAKKAD DIST</t>
  </si>
  <si>
    <t>VENKATA SUBRAMANIAN</t>
  </si>
  <si>
    <t>NO 523/9</t>
  </si>
  <si>
    <t>S/O KAILAS IYER</t>
  </si>
  <si>
    <t>NALLEPILLY GRAMA PANCHAYATH</t>
  </si>
  <si>
    <t>RADHAKRISHNAN V</t>
  </si>
  <si>
    <t>NO.C10/291,</t>
  </si>
  <si>
    <t>SATYANIKETH, CHENGANIYOOR</t>
  </si>
  <si>
    <t>MATHURP.O, COYALMANNAMKERALA</t>
  </si>
  <si>
    <t>SURESH BABU P K</t>
  </si>
  <si>
    <t>PADINJAREKALATHIL HOUSE</t>
  </si>
  <si>
    <t>PALODE PO MANNARKKAD</t>
  </si>
  <si>
    <t>SOMASEKHARAN NAIR B</t>
  </si>
  <si>
    <t>XII/173 SREYAS</t>
  </si>
  <si>
    <t>EDATHARA(PO)</t>
  </si>
  <si>
    <t>PARALIPALAKKAD</t>
  </si>
  <si>
    <t>SATHISHKUMAR P K</t>
  </si>
  <si>
    <t>PUTHANPURA HOUSE</t>
  </si>
  <si>
    <t>THENUR PO</t>
  </si>
  <si>
    <t>SIVADASAN S V</t>
  </si>
  <si>
    <t>PUTHAN VARIYAM</t>
  </si>
  <si>
    <t>PUDUSSERY P O</t>
  </si>
  <si>
    <t>PRAKASH N</t>
  </si>
  <si>
    <t>PARA ELAPPULLY P O</t>
  </si>
  <si>
    <t>PALAKKADPALAKKAD</t>
  </si>
  <si>
    <t>SIVADASAN C</t>
  </si>
  <si>
    <t>IX/305, SYAM NIVAS,</t>
  </si>
  <si>
    <t>CHANGARAMKANDAM,</t>
  </si>
  <si>
    <t>MANNAPRA,PALAKKAD</t>
  </si>
  <si>
    <t>JAYA MADHUSOODANAN</t>
  </si>
  <si>
    <t>SOPANAM</t>
  </si>
  <si>
    <t>SENGUPTA ROAD</t>
  </si>
  <si>
    <t>SUBRAMANIAN PARAMESWRAN</t>
  </si>
  <si>
    <t>KAILAS LAKKIDI</t>
  </si>
  <si>
    <t>KOOTTUPATHA</t>
  </si>
  <si>
    <t>LAKKIDI</t>
  </si>
  <si>
    <t>MANOJ R</t>
  </si>
  <si>
    <t>MANOJ NIVAS</t>
  </si>
  <si>
    <t>KANNIYAMPURAM POST</t>
  </si>
  <si>
    <t>OTTAPALAM VIA</t>
  </si>
  <si>
    <t>SASIKUMAR .R</t>
  </si>
  <si>
    <t>NARAYANI NIVAS</t>
  </si>
  <si>
    <t>AMBALAPATTA</t>
  </si>
  <si>
    <t>PATTAMBI ROAD ,PERINTALMANNAMALAPPURAM</t>
  </si>
  <si>
    <t>PADMANABHAN M</t>
  </si>
  <si>
    <t>MALAYACHAMPULAKKAL HOUSE</t>
  </si>
  <si>
    <t>PALOOR</t>
  </si>
  <si>
    <t>PULAMANTHOLE P O</t>
  </si>
  <si>
    <t>KIZHAKKETHIL MOIDEENKUTTY</t>
  </si>
  <si>
    <t>KIZHAKKETHIL HOUSE</t>
  </si>
  <si>
    <t>PULAMANTHOLE PO</t>
  </si>
  <si>
    <t>MALAPPURAM DIST</t>
  </si>
  <si>
    <t>PUSHPAMGADAN.K .</t>
  </si>
  <si>
    <t>MANOHAR NIVAS</t>
  </si>
  <si>
    <t>VELLILA P O</t>
  </si>
  <si>
    <t>MANKADA</t>
  </si>
  <si>
    <t>NOUFAL BABU C</t>
  </si>
  <si>
    <t>CHATHOLIL HOUSE</t>
  </si>
  <si>
    <t>VALAMBUR PO</t>
  </si>
  <si>
    <t>PERINTALMANNA</t>
  </si>
  <si>
    <t>BALACHANDRAN.K.V .</t>
  </si>
  <si>
    <t>AP 9/491 C SISIRAM 22A</t>
  </si>
  <si>
    <t>AMBAADI NAGAR</t>
  </si>
  <si>
    <t>ANGADIPPUARAM VALAMBUR</t>
  </si>
  <si>
    <t>ARIMBRA TAYYIL AYAMUTTY</t>
  </si>
  <si>
    <t>387 ARIMBRA THAYYIL HOUSE</t>
  </si>
  <si>
    <t>1 EDAPPATTA</t>
  </si>
  <si>
    <t>AYAMUTTY A T</t>
  </si>
  <si>
    <t>ARIMBRA TAYYIL HOUSE</t>
  </si>
  <si>
    <t>EDAPATTA P O, MELATTUR VIA</t>
  </si>
  <si>
    <t>PERINTHALMANNAMALAPPURAM, KERALA</t>
  </si>
  <si>
    <t>CHULLIKKULAVAN SUBIRE</t>
  </si>
  <si>
    <t>CHULLIKKULAVAN HOUSE,</t>
  </si>
  <si>
    <t>KARAPPURAM P.O,</t>
  </si>
  <si>
    <t>AJEESH P</t>
  </si>
  <si>
    <t>PAYYADI HOUSE</t>
  </si>
  <si>
    <t>PORUR P O</t>
  </si>
  <si>
    <t>POOTHRAKOVUMALAPPURAM, KERALA</t>
  </si>
  <si>
    <t>P MANIKANDAN .</t>
  </si>
  <si>
    <t>PALENGIL HOUSE</t>
  </si>
  <si>
    <t>ANAMANGAD POST</t>
  </si>
  <si>
    <t>PRAKASAN V P</t>
  </si>
  <si>
    <t>VADAKKEKKARA PUTHANVEETTIL</t>
  </si>
  <si>
    <t>AMBALAVATTOM P O</t>
  </si>
  <si>
    <t>PANAMANNA</t>
  </si>
  <si>
    <t>PONNOTH NECHIKKOTTIL SATHEESAN</t>
  </si>
  <si>
    <t>KUNNATH HOUSE THRIKKADEERI P O</t>
  </si>
  <si>
    <t>GOPALAKRISHNAN.R</t>
  </si>
  <si>
    <t>SUDARSANAM</t>
  </si>
  <si>
    <t>CHUNANGAD</t>
  </si>
  <si>
    <t>OTTAPALAMOTTAPALAM</t>
  </si>
  <si>
    <t>MOHANDAS.M.P</t>
  </si>
  <si>
    <t>PALAKKATTU PATTATH H</t>
  </si>
  <si>
    <t>KAREKKAD</t>
  </si>
  <si>
    <t>KAVALAPPARA P OKERALA</t>
  </si>
  <si>
    <t>KUTTYNARAYANAN K</t>
  </si>
  <si>
    <t>KUNDULLY HOUSE</t>
  </si>
  <si>
    <t>KOOTTANAD</t>
  </si>
  <si>
    <t>SUNIL A K</t>
  </si>
  <si>
    <t>ARINMMAL HOUSE</t>
  </si>
  <si>
    <t>KUZHOOR</t>
  </si>
  <si>
    <t>VAVANNOOR, KOOTTANAD</t>
  </si>
  <si>
    <t>RAVEENDRANATH</t>
  </si>
  <si>
    <t>ETTANGALA VALAPPIL HOUSE</t>
  </si>
  <si>
    <t>PATTITHARA POST</t>
  </si>
  <si>
    <t>TRITHALA VIAPALAKKAD DIST</t>
  </si>
  <si>
    <t>SURESH BALAKRISHNAN</t>
  </si>
  <si>
    <t>VATTEKATTU VALAPPIL</t>
  </si>
  <si>
    <t>PERUMANNOOR P O</t>
  </si>
  <si>
    <t>CHALISSERY</t>
  </si>
  <si>
    <t>MANJU JIJI</t>
  </si>
  <si>
    <t>CHERUVATHOORE HOUSE</t>
  </si>
  <si>
    <t>CHALISSERY P O</t>
  </si>
  <si>
    <t>RAJAGOPALAN N P</t>
  </si>
  <si>
    <t>NAMBARATH PADINJAROT HOUSE</t>
  </si>
  <si>
    <t>CHATHANOOR POSTPERINGODE VIA, PALGHAT DIST</t>
  </si>
  <si>
    <t>VELLALATH CHANDRIKA .</t>
  </si>
  <si>
    <t>PONNENGATTIL(H)</t>
  </si>
  <si>
    <t>KALOOR P O</t>
  </si>
  <si>
    <t>FRANCIS VADAKKEN</t>
  </si>
  <si>
    <t>VADAKKEN HOUSE</t>
  </si>
  <si>
    <t>VYLATHUR</t>
  </si>
  <si>
    <t>NHAMANGHAT P O</t>
  </si>
  <si>
    <t>HAMZA A P</t>
  </si>
  <si>
    <t>ARAYAMPARAMBIL HOUSE</t>
  </si>
  <si>
    <t>P O ANDATHODE</t>
  </si>
  <si>
    <t>PUNNAYOORKULAMTRICHUR DIST</t>
  </si>
  <si>
    <t>TRICHUR DIST</t>
  </si>
  <si>
    <t>SIDHARTHAN.M</t>
  </si>
  <si>
    <t>MAMPETA HOUSE</t>
  </si>
  <si>
    <t>ANDATHODE</t>
  </si>
  <si>
    <t>SETHUMADHAVAN P V</t>
  </si>
  <si>
    <t>PADICHAMVEETTIL</t>
  </si>
  <si>
    <t>EZUVATHIRUTHI</t>
  </si>
  <si>
    <t>PONNANI</t>
  </si>
  <si>
    <t>KADAKAPPULLY MANIKANDAN</t>
  </si>
  <si>
    <t>KADAKAPPULLY</t>
  </si>
  <si>
    <t>EZHUVATHIRUTHY</t>
  </si>
  <si>
    <t>ANEESH KRISHNAN T V</t>
  </si>
  <si>
    <t>KANAK</t>
  </si>
  <si>
    <t>KALADY POST</t>
  </si>
  <si>
    <t>MALAPPURAM DISTMALAPPURAM DIST</t>
  </si>
  <si>
    <t>SURESH KUMAR K P</t>
  </si>
  <si>
    <t>KAYALAMPALLATH</t>
  </si>
  <si>
    <t>P O KALADY</t>
  </si>
  <si>
    <t>MALAPPURAM DISTRICTMALAPPURAM</t>
  </si>
  <si>
    <t>PRAVEEN S .</t>
  </si>
  <si>
    <t>SOOLAPPURATH HOUSE</t>
  </si>
  <si>
    <t>KADAVANADU</t>
  </si>
  <si>
    <t>PONNANI, MALAPPURAM</t>
  </si>
  <si>
    <t>HIJAS M V</t>
  </si>
  <si>
    <t>PERUMPULLIYIL (H)</t>
  </si>
  <si>
    <t>ERAMANGALAM POST</t>
  </si>
  <si>
    <t>MALAPPURAM DT</t>
  </si>
  <si>
    <t>N I JOHN .</t>
  </si>
  <si>
    <t>NADAKAVUKARAN HOUSE</t>
  </si>
  <si>
    <t>MISSION QUARTERS ROAD</t>
  </si>
  <si>
    <t>BINOY JOHN CHEREATH</t>
  </si>
  <si>
    <t>CHEREATH HOUSE</t>
  </si>
  <si>
    <t>BEHIND IMA</t>
  </si>
  <si>
    <t>T B ROADTHRISSUR</t>
  </si>
  <si>
    <t>GOPINATHA MENON</t>
  </si>
  <si>
    <t>GOVINDAM, 687/TC- 33</t>
  </si>
  <si>
    <t>SAKTHAN THAMBURAN NAGAR</t>
  </si>
  <si>
    <t>SAIALM A</t>
  </si>
  <si>
    <t>CORPORATE OFFICE</t>
  </si>
  <si>
    <t>RAAJI S</t>
  </si>
  <si>
    <t>KARIATTU KARUNAKARAN SREEPATHY .</t>
  </si>
  <si>
    <t>SRUTHY 4TH STREET,ISLAND</t>
  </si>
  <si>
    <t>AVENUE,PUNKUNNAM PO,</t>
  </si>
  <si>
    <t>LENIN NAGAR,</t>
  </si>
  <si>
    <t>SUJATHA V K</t>
  </si>
  <si>
    <t>VELEKKATTIL HOUSE</t>
  </si>
  <si>
    <t>RAM NIVAS THIRUVAMPADI ROAD</t>
  </si>
  <si>
    <t>POONKUNNAM P OTRICHUR</t>
  </si>
  <si>
    <t>HRISHIKESH VARMA</t>
  </si>
  <si>
    <t>D9, ENARC APARTMENTS</t>
  </si>
  <si>
    <t>ASHA V</t>
  </si>
  <si>
    <t>KALYAN 24/170</t>
  </si>
  <si>
    <t>GANAPATI AGRAHARAM</t>
  </si>
  <si>
    <t>VIDHYA P P</t>
  </si>
  <si>
    <t>24/170 GANAPATHY AGRAHARAM</t>
  </si>
  <si>
    <t>THRISSURKERALA</t>
  </si>
  <si>
    <t>JEEJA SANTHOSE .</t>
  </si>
  <si>
    <t>JEEJA BHAVAN</t>
  </si>
  <si>
    <t>THACHAPILLY HOUSE</t>
  </si>
  <si>
    <t>AYYANTHPLE</t>
  </si>
  <si>
    <t>RAMACHANDRAN E N</t>
  </si>
  <si>
    <t>ERAKKIL HOUSE</t>
  </si>
  <si>
    <t>KRISHNA KRIPA</t>
  </si>
  <si>
    <t>PUTHURKKARATHRISSUR KERALA</t>
  </si>
  <si>
    <t>V BALACHANDRA MENON</t>
  </si>
  <si>
    <t>S/O: A.Karunakara Menon,Karuna,,Sak</t>
  </si>
  <si>
    <t>thi Nagar,Ayyanthole,,,Thrissur,.</t>
  </si>
  <si>
    <t>SHAJI T F</t>
  </si>
  <si>
    <t>11 THERATTIL KURIAN HOUSE,</t>
  </si>
  <si>
    <t>AYYANTHOLE GRAMA PANCHAYATH,</t>
  </si>
  <si>
    <t>THRISSUR,KERALA</t>
  </si>
  <si>
    <t>RAGHAVENDRA .</t>
  </si>
  <si>
    <t>SANDHYA MAKKAL HOUSE</t>
  </si>
  <si>
    <t>KOTTAPURAM</t>
  </si>
  <si>
    <t>AMBIKA G</t>
  </si>
  <si>
    <t>TC 38 1450, MURMARA</t>
  </si>
  <si>
    <t>TEMPLE ROAD</t>
  </si>
  <si>
    <t>POOTHOLETHRISSUR</t>
  </si>
  <si>
    <t>MARY JOSEPH M</t>
  </si>
  <si>
    <t>PEACOCK NAGAR, MYLIPADAM</t>
  </si>
  <si>
    <t>OMANA V K</t>
  </si>
  <si>
    <t>VADAKOOT HOUSE</t>
  </si>
  <si>
    <t>KIZHAKKUMPATTUKARA</t>
  </si>
  <si>
    <t>JOHN C T</t>
  </si>
  <si>
    <t>CHALAKKAL(H)</t>
  </si>
  <si>
    <t>ANCHERYCHERA</t>
  </si>
  <si>
    <t>BYJU VARGHESE</t>
  </si>
  <si>
    <t>VALLACHIRAKKARAN HOUSE</t>
  </si>
  <si>
    <t>JAVAHAR ROAD</t>
  </si>
  <si>
    <t>ANCHERY POTRISSUR</t>
  </si>
  <si>
    <t>POSSERY VELAYUDHAN BHASKARAN</t>
  </si>
  <si>
    <t>POOSSERY HOUSE</t>
  </si>
  <si>
    <t>CHEROOR</t>
  </si>
  <si>
    <t>M O ROAD</t>
  </si>
  <si>
    <t>K J FRANCIS</t>
  </si>
  <si>
    <t>KATTOOKARAN HOUSE</t>
  </si>
  <si>
    <t>P O ENGG COLLEGE</t>
  </si>
  <si>
    <t>RAMACHANDRAN N K</t>
  </si>
  <si>
    <t>NADUVILPURAKKAL HOUSE</t>
  </si>
  <si>
    <t>MANALARKAVU ROAD</t>
  </si>
  <si>
    <t>VIYYUR P O</t>
  </si>
  <si>
    <t>SATHIDEVI P N</t>
  </si>
  <si>
    <t>VADAKKEPADATH HOUSE</t>
  </si>
  <si>
    <t>KOLAZHY P O</t>
  </si>
  <si>
    <t>SIJO MICLE U</t>
  </si>
  <si>
    <t>UKKEN HOUSE</t>
  </si>
  <si>
    <t>CHETTUPUZHA P O</t>
  </si>
  <si>
    <t>RENJITH A B .</t>
  </si>
  <si>
    <t>ATTASSERI (H)</t>
  </si>
  <si>
    <t>P O KOTTUR</t>
  </si>
  <si>
    <t>T D THOMAKUTTY</t>
  </si>
  <si>
    <t>THAIKKATTIL HOUSE</t>
  </si>
  <si>
    <t>FATHIMA ROAD, KOTTEKKAD</t>
  </si>
  <si>
    <t>KUTTUR P O, THRISSURKERALA</t>
  </si>
  <si>
    <t>RAMAKRISHNAN A R .</t>
  </si>
  <si>
    <t>ALUKKAPARAMBIL HOUSE</t>
  </si>
  <si>
    <t>P O PONNUKKARA</t>
  </si>
  <si>
    <t>BHARATHY T</t>
  </si>
  <si>
    <t>PADINJAROOT HOUSE</t>
  </si>
  <si>
    <t>CHIYYARAM</t>
  </si>
  <si>
    <t>PAUL C J .</t>
  </si>
  <si>
    <t>CHAZHOOR THATTUPARAMBIL HOUSE</t>
  </si>
  <si>
    <t>P O VELUTHUR</t>
  </si>
  <si>
    <t>SANTHOSH M L</t>
  </si>
  <si>
    <t>NO - 6/628,</t>
  </si>
  <si>
    <t>MANDAMPALA,</t>
  </si>
  <si>
    <t>VILVATTOM GRAMA PANCHAYATH</t>
  </si>
  <si>
    <t>RAMKUMAR V</t>
  </si>
  <si>
    <t>VAZHAPPULLY HOUSE</t>
  </si>
  <si>
    <t>VI/392 KUNDUVARA LANE</t>
  </si>
  <si>
    <t>CHEMBUKAVUTHRISSUR</t>
  </si>
  <si>
    <t>JOHNSON T J</t>
  </si>
  <si>
    <t>THOLATH HOUSE</t>
  </si>
  <si>
    <t>WOMENS CLUB ROAD</t>
  </si>
  <si>
    <t>CHEMBUKKAV</t>
  </si>
  <si>
    <t>ASOKAN P S</t>
  </si>
  <si>
    <t>POOVATHUMKADAVIL HOUSE</t>
  </si>
  <si>
    <t>SHRILEKHA,BENNET ROAD</t>
  </si>
  <si>
    <t>CHEMBUKAVU</t>
  </si>
  <si>
    <t>MADHAVAN K</t>
  </si>
  <si>
    <t>ATHIRA</t>
  </si>
  <si>
    <t>MUSEUM CROSS LANE</t>
  </si>
  <si>
    <t>VARGHESE C A</t>
  </si>
  <si>
    <t>CHIRAMEL HOUSE</t>
  </si>
  <si>
    <t>KARIMPATTATHOPE</t>
  </si>
  <si>
    <t>PRAVITHA M G</t>
  </si>
  <si>
    <t>THELAMPATTA MANA</t>
  </si>
  <si>
    <t>NORTH NADA</t>
  </si>
  <si>
    <t>GURUVAYOOR P OTHRISSUR, KERALA</t>
  </si>
  <si>
    <t>HAMEED A P</t>
  </si>
  <si>
    <t>PARARIKAL HOUSE</t>
  </si>
  <si>
    <t>GURUVAYUR P O</t>
  </si>
  <si>
    <t>V A SUNNY</t>
  </si>
  <si>
    <t>THIRUVENKIDAM</t>
  </si>
  <si>
    <t>PO-GURUVAYUR</t>
  </si>
  <si>
    <t>GURUVAYUR</t>
  </si>
  <si>
    <t>SHIJO JOSE MUTTATH</t>
  </si>
  <si>
    <t>MUTTATH HOUSE</t>
  </si>
  <si>
    <t>THAIKKAD PO</t>
  </si>
  <si>
    <t>JUSTIN JOSEPH P L</t>
  </si>
  <si>
    <t>PULIKKOTTIL HOUSE</t>
  </si>
  <si>
    <t>THAIKKAD P O</t>
  </si>
  <si>
    <t>BALACHANDRAN K M</t>
  </si>
  <si>
    <t>197 (6/264) KENADATH HOUSE</t>
  </si>
  <si>
    <t>RAJAN D S</t>
  </si>
  <si>
    <t>DODDA MANA</t>
  </si>
  <si>
    <t>KURUKULANGARA</t>
  </si>
  <si>
    <t>IRINJALAKUDATHRISSUR</t>
  </si>
  <si>
    <t>SYAM MOHAN M P</t>
  </si>
  <si>
    <t>MUPPARATHY HOUSE</t>
  </si>
  <si>
    <t>KORUMBISSERRY</t>
  </si>
  <si>
    <t>IRINJALAKUDATRICHUR</t>
  </si>
  <si>
    <t>SIVADAS B .</t>
  </si>
  <si>
    <t>SOUPARNIKA</t>
  </si>
  <si>
    <t>PALLIPPATT HOUSE</t>
  </si>
  <si>
    <t>MARY ANTONY</t>
  </si>
  <si>
    <t>PARK ROAD</t>
  </si>
  <si>
    <t>K GOPAKUMAR .</t>
  </si>
  <si>
    <t>KARINGAMANNA HOUSE</t>
  </si>
  <si>
    <t>ADVOCATE R R IYER ROAD</t>
  </si>
  <si>
    <t>SMITHA K K .</t>
  </si>
  <si>
    <t>KANJIRAPARAMBIL HOUSE,</t>
  </si>
  <si>
    <t>CHETTIPARAMBU,</t>
  </si>
  <si>
    <t>SYLI K S</t>
  </si>
  <si>
    <t>CHERAKULAM HOUSE SN NAGAR</t>
  </si>
  <si>
    <t>TONY JOHNSON KUNNATHUPARAMBIL</t>
  </si>
  <si>
    <t>KUNNATHUPARAMBIL HOUSE</t>
  </si>
  <si>
    <t>MARIA COMPLEX</t>
  </si>
  <si>
    <t>KATTUNGACHIRAIRINJALAKUDA</t>
  </si>
  <si>
    <t>KUTTIKADEN KOCHAPPAN SIVADAS</t>
  </si>
  <si>
    <t>KUTTIKADEN HOUSE</t>
  </si>
  <si>
    <t>IRINJALAKUDA PO</t>
  </si>
  <si>
    <t>JALAJA K R</t>
  </si>
  <si>
    <t>KOVATH HOUSE</t>
  </si>
  <si>
    <t>MADAVAKKARA</t>
  </si>
  <si>
    <t>CHITTISSERY P OTHRISSUR</t>
  </si>
  <si>
    <t>SHAJU A L</t>
  </si>
  <si>
    <t>9/345</t>
  </si>
  <si>
    <t>MOOLANANKAMALI</t>
  </si>
  <si>
    <t>PUDUKKAD PANCHAYATH</t>
  </si>
  <si>
    <t>JOSEPH PAUL</t>
  </si>
  <si>
    <t>VENDORE</t>
  </si>
  <si>
    <t>ALAGAPPANAGAR P OTHRISSUR</t>
  </si>
  <si>
    <t>TOBY THOMAS .</t>
  </si>
  <si>
    <t>ARANGASSERY HOUSE</t>
  </si>
  <si>
    <t>VARANDARAPILLY POST</t>
  </si>
  <si>
    <t>JOY A D .</t>
  </si>
  <si>
    <t>APPATTUPARAMBIL</t>
  </si>
  <si>
    <t>NELLAYI</t>
  </si>
  <si>
    <t>KURULY SANKARANUNNI JINAN</t>
  </si>
  <si>
    <t>KURULY HOUSE</t>
  </si>
  <si>
    <t>PONNUKKARA</t>
  </si>
  <si>
    <t>FAJO PAUL .</t>
  </si>
  <si>
    <t>MELEPURATH HOUSE, CHRISTOPHER NAGAR BUS STOP</t>
  </si>
  <si>
    <t>NH MAIN ROAD, OLLUR P O</t>
  </si>
  <si>
    <t>PUTHUR, PONNUKKARA</t>
  </si>
  <si>
    <t>KAVITHA KURULY JINAN</t>
  </si>
  <si>
    <t>JAMES THETTAYIL FRANCIS</t>
  </si>
  <si>
    <t>THETTAYIL HOUSE</t>
  </si>
  <si>
    <t>CRISTOPHER NAGAR</t>
  </si>
  <si>
    <t>SHEELA KAIMADATHIL LAZAR</t>
  </si>
  <si>
    <t>MAROKY HOUSE</t>
  </si>
  <si>
    <t>MARATHAKKARA</t>
  </si>
  <si>
    <t>SREEJA K M</t>
  </si>
  <si>
    <t>KATTIPARAMBIL(H)</t>
  </si>
  <si>
    <t>SMITHA M</t>
  </si>
  <si>
    <t>KURUPPATH HOUSE</t>
  </si>
  <si>
    <t>THRIKKUR PO</t>
  </si>
  <si>
    <t>THRISSUR KERALAINDIA</t>
  </si>
  <si>
    <t>SREEKUMAR K A .</t>
  </si>
  <si>
    <t>KALIVEEDU</t>
  </si>
  <si>
    <t>KOODAPUZHA</t>
  </si>
  <si>
    <t>JAGADEESH A.</t>
  </si>
  <si>
    <t>AREEKKARA HOUSE</t>
  </si>
  <si>
    <t>KORATTY SOUTH P. O.</t>
  </si>
  <si>
    <t>EDATHATIL AYYAPPAN SUBRAN</t>
  </si>
  <si>
    <t>190 EDATHADAN 7 CHALAKUDY</t>
  </si>
  <si>
    <t>MUNICIPALITY</t>
  </si>
  <si>
    <t>CHANDRAN C S</t>
  </si>
  <si>
    <t>CHIYYARATH HOUSE</t>
  </si>
  <si>
    <t>KHANNANAGAR</t>
  </si>
  <si>
    <t>KORATTY</t>
  </si>
  <si>
    <t>LOHITHAKSHAN P K</t>
  </si>
  <si>
    <t>PATTATHIPARAMBIL HOUSE</t>
  </si>
  <si>
    <t>P O KUNNAPPILLY</t>
  </si>
  <si>
    <t>CHALAKUDY VIATHRISSUR KERALA</t>
  </si>
  <si>
    <t>LIGI LOHITHAKSHAN</t>
  </si>
  <si>
    <t>PATTATHIPARAMBIL HOUSE,</t>
  </si>
  <si>
    <t>KUNNAPPILLY P.O,</t>
  </si>
  <si>
    <t>CHALAKUDY (Via)KERALA</t>
  </si>
  <si>
    <t>FLORY PAUL</t>
  </si>
  <si>
    <t>KATTUMATH HOUSE</t>
  </si>
  <si>
    <t>CHENGALOOR P O</t>
  </si>
  <si>
    <t>P A BALAN</t>
  </si>
  <si>
    <t>PAYATHUPARAMBIL HOUSE</t>
  </si>
  <si>
    <t>P O AVINISSERY</t>
  </si>
  <si>
    <t>PAULSON K A .</t>
  </si>
  <si>
    <t>KARIYATTY HOUSE</t>
  </si>
  <si>
    <t>P O KALLUR</t>
  </si>
  <si>
    <t>SAIDAS P</t>
  </si>
  <si>
    <t>PERUMPILLY HOUSE</t>
  </si>
  <si>
    <t>SREE BHAVANAM</t>
  </si>
  <si>
    <t>KALLUR P OTHRISSUR, KERALA</t>
  </si>
  <si>
    <t>SHEEJA SUGATHAN</t>
  </si>
  <si>
    <t>MUNDAKKAL HOUSE</t>
  </si>
  <si>
    <t>ANANDAPURAM P O</t>
  </si>
  <si>
    <t>LAL .M.C .</t>
  </si>
  <si>
    <t>ALATHUR P.O.</t>
  </si>
  <si>
    <t>ANANDAPURAM</t>
  </si>
  <si>
    <t>P L OUSEPH</t>
  </si>
  <si>
    <t>PODHAPARAMBIL HOUSE</t>
  </si>
  <si>
    <t>PO - ANANDAPURAM</t>
  </si>
  <si>
    <t>NR MUKUNDAPURAMTHRISSUR</t>
  </si>
  <si>
    <t>SUSHAMA M SREEDHARAN</t>
  </si>
  <si>
    <t>MACHINGAL HOUSE</t>
  </si>
  <si>
    <t>PERUMANU</t>
  </si>
  <si>
    <t>KECHERY P O</t>
  </si>
  <si>
    <t>K S BYJU</t>
  </si>
  <si>
    <t>CHANDRANILAYAM</t>
  </si>
  <si>
    <t>P O CHOONDAL</t>
  </si>
  <si>
    <t>GEORGE C CHUNGATH .</t>
  </si>
  <si>
    <t>CHUNGATH HOUSE</t>
  </si>
  <si>
    <t>CHOWANNUR P O</t>
  </si>
  <si>
    <t>SHAJI UKKURU</t>
  </si>
  <si>
    <t>THENGUNGAL 9</t>
  </si>
  <si>
    <t>KUNNAMKULAM MUNICIPALITYTRICHUR</t>
  </si>
  <si>
    <t>CEEBA C G .</t>
  </si>
  <si>
    <t>CHUNGATH HOUSE,CHOWANNUR P O</t>
  </si>
  <si>
    <t>TONY APROSS CHERIAN</t>
  </si>
  <si>
    <t>THEKKEKARA HOUSE</t>
  </si>
  <si>
    <t>KUNNAMKULAM P O</t>
  </si>
  <si>
    <t>USHA GEORGE .</t>
  </si>
  <si>
    <t>CHUNGATH (H)</t>
  </si>
  <si>
    <t>GEORGE C C .</t>
  </si>
  <si>
    <t>PREMITH KENNETH</t>
  </si>
  <si>
    <t>VYSAKAM</t>
  </si>
  <si>
    <t>KUNNAMKULAMTHRISSUR</t>
  </si>
  <si>
    <t>FEMY SYJAN</t>
  </si>
  <si>
    <t>THARAKAN HOUSE</t>
  </si>
  <si>
    <t>KOONAMMOOCHI</t>
  </si>
  <si>
    <t>P V PRABHAKARAN</t>
  </si>
  <si>
    <t>KOLADY PUTHIYAVEETIL</t>
  </si>
  <si>
    <t>ACHANATH ROAD</t>
  </si>
  <si>
    <t>MUTHUVETTUR, CHAVAKKADTHRISSUR, KERALA</t>
  </si>
  <si>
    <t>KUTHOOR CHACKO FRANCIS</t>
  </si>
  <si>
    <t>KUTHUR HOUSE</t>
  </si>
  <si>
    <t>PUVATHOOR P O</t>
  </si>
  <si>
    <t>CHAVAKKADTHRISSUR</t>
  </si>
  <si>
    <t>JOJU JOS KIDANGAN</t>
  </si>
  <si>
    <t>KIDANGAN HOUSE</t>
  </si>
  <si>
    <t>ENAMAKKAL P O</t>
  </si>
  <si>
    <t>RAMACHANDRAN K</t>
  </si>
  <si>
    <t>ORUMANAYUR P O</t>
  </si>
  <si>
    <t>CHAVAKKADCHAVAKKAD</t>
  </si>
  <si>
    <t>SIMI NIJU</t>
  </si>
  <si>
    <t>WADAKKAN HOUSE</t>
  </si>
  <si>
    <t>THOYAKKAVU P O</t>
  </si>
  <si>
    <t>ASHRAF V H</t>
  </si>
  <si>
    <t>AYYATHAYIL HOUSE</t>
  </si>
  <si>
    <t>EDAKKAZHIYOOR PO</t>
  </si>
  <si>
    <t>RATHI SUBRAMANIAN</t>
  </si>
  <si>
    <t>EDAMANA HOUSE</t>
  </si>
  <si>
    <t>KANIPAYOOR</t>
  </si>
  <si>
    <t>VARGHESE P I</t>
  </si>
  <si>
    <t>PANOKARAN HOUSE</t>
  </si>
  <si>
    <t>KANIPAYYUR KUNNAMKULAM</t>
  </si>
  <si>
    <t>MUHAMMED ABDUL RAHIMAN</t>
  </si>
  <si>
    <t>FATHIMA HOUSE</t>
  </si>
  <si>
    <t>PERUMPILAVU P O</t>
  </si>
  <si>
    <t>KUNJHIMON V A</t>
  </si>
  <si>
    <t>VIRIPPATTAYIL HOUSE</t>
  </si>
  <si>
    <t>ALINTHAI</t>
  </si>
  <si>
    <t>PERUMPILAVU</t>
  </si>
  <si>
    <t>SUJATHA K R</t>
  </si>
  <si>
    <t>NEEHARAM</t>
  </si>
  <si>
    <t>KAMBIPALAM AKKIKAVU PO</t>
  </si>
  <si>
    <t>MUSTHAPHA PUTHUVEETTIL</t>
  </si>
  <si>
    <t>PUTHUVEETTIL HOUSE</t>
  </si>
  <si>
    <t>P O CHAKKAMKANDAM</t>
  </si>
  <si>
    <t>HARI CHAKRATT</t>
  </si>
  <si>
    <t>KURUPATHTHARAMEL HOUSE</t>
  </si>
  <si>
    <t>KADAVALLUR POST</t>
  </si>
  <si>
    <t>SHAISAN J PALAKKAL</t>
  </si>
  <si>
    <t>PALAKKAL HOUSE</t>
  </si>
  <si>
    <t>PENGAMUKKU P O</t>
  </si>
  <si>
    <t>KOCHUMOL</t>
  </si>
  <si>
    <t>83 KOLLANNOOR 5</t>
  </si>
  <si>
    <t>KATTAKAMBAL GRAMA PANCHAYAT</t>
  </si>
  <si>
    <t>JAYACHANDRAN N</t>
  </si>
  <si>
    <t>NEELAMPILLY HOUSE</t>
  </si>
  <si>
    <t>MANITHARA</t>
  </si>
  <si>
    <t>AVANOORTHRISSUR</t>
  </si>
  <si>
    <t>AYYAPPADAS P .</t>
  </si>
  <si>
    <t>KRISHNA PRABHA</t>
  </si>
  <si>
    <t>OPP SAAJ TIMBER &amp; SAWMILLS</t>
  </si>
  <si>
    <t>PERUMBILLISSERY CHERPU P O</t>
  </si>
  <si>
    <t>RAMAKRISHNAN M</t>
  </si>
  <si>
    <t>MYLANCHERY HOUSE</t>
  </si>
  <si>
    <t>POOTHARAKKAL</t>
  </si>
  <si>
    <t>KUTTAN K K</t>
  </si>
  <si>
    <t>KUZHUPPULLY PARAMBIL HOUSE</t>
  </si>
  <si>
    <t>URAKOM P O</t>
  </si>
  <si>
    <t>ALBERT GEORGE</t>
  </si>
  <si>
    <t>THERUKATTIL HOUSE</t>
  </si>
  <si>
    <t>KURUMPILAVU P O</t>
  </si>
  <si>
    <t>LAJITHA SAHADEVAN .</t>
  </si>
  <si>
    <t>CHEMMANY HOUSE</t>
  </si>
  <si>
    <t>P O PAZHUVIL WEST</t>
  </si>
  <si>
    <t>DARSAN R KARATTUPARAMBIL</t>
  </si>
  <si>
    <t>KARATTUPARAMBIL HOUSE</t>
  </si>
  <si>
    <t>PERINGOTTUKARA P O THRISSUR</t>
  </si>
  <si>
    <t>PERINGOTTUKARA</t>
  </si>
  <si>
    <t>C G RAJESH</t>
  </si>
  <si>
    <t>CHERUVIL HOUSE</t>
  </si>
  <si>
    <t>PERINGOTTUKKARA P O</t>
  </si>
  <si>
    <t>JAYA ALAKKAT .</t>
  </si>
  <si>
    <t>VALLATH HOOUSE</t>
  </si>
  <si>
    <t>P B DINESH</t>
  </si>
  <si>
    <t>PANAKKAL HOUSE</t>
  </si>
  <si>
    <t>NATTIKA BEACH P O</t>
  </si>
  <si>
    <t>DR FAZAL MOHAMED</t>
  </si>
  <si>
    <t>THYCHAL HOUSE</t>
  </si>
  <si>
    <t>P O NATTIKA</t>
  </si>
  <si>
    <t>KONDRAPPASSERY DHARMARATNAM ANILKUMAR</t>
  </si>
  <si>
    <t>KONDRAPPASSERY HOUSE</t>
  </si>
  <si>
    <t>VALAPPAD BEACH</t>
  </si>
  <si>
    <t>SESHIDARAN V G</t>
  </si>
  <si>
    <t>VALIPARAMBIL HOUSE</t>
  </si>
  <si>
    <t>P O KARYAMUTTAM</t>
  </si>
  <si>
    <t>HASEENA MUBARAK</t>
  </si>
  <si>
    <t>UPPATT HOUSE</t>
  </si>
  <si>
    <t>KURISSUPALLY WEST</t>
  </si>
  <si>
    <t>VALAPAD P OTHRISSUR, KERALA</t>
  </si>
  <si>
    <t>RAVINDRANATHAN K</t>
  </si>
  <si>
    <t>KOTTEKKAT HOUSE</t>
  </si>
  <si>
    <t>HONEY SHAJI</t>
  </si>
  <si>
    <t>455 KOZHIPARAMBIL 5</t>
  </si>
  <si>
    <t>VALAPPAD GRAMA PANCHAYAT</t>
  </si>
  <si>
    <t>M R SUDHARMAN</t>
  </si>
  <si>
    <t>MURIYAPURAKKAL HOUSE KARAYAVATTOM</t>
  </si>
  <si>
    <t>P O THRISSUR</t>
  </si>
  <si>
    <t>RAJENDRAN K S</t>
  </si>
  <si>
    <t>KOZHIPARAMBIL HOUSE</t>
  </si>
  <si>
    <t>VALAPAD P O</t>
  </si>
  <si>
    <t>RAVINDRAN K V</t>
  </si>
  <si>
    <t>KARUVETHIL HOUSE</t>
  </si>
  <si>
    <t>PRATHEESH P J</t>
  </si>
  <si>
    <t>POZHEKKADAVIL HOUSE</t>
  </si>
  <si>
    <t>LENIN K K</t>
  </si>
  <si>
    <t>KADAVATH HOUSE</t>
  </si>
  <si>
    <t>VALAPAD P.O</t>
  </si>
  <si>
    <t>PAINOOR, THRISSUR DISTRICTKERALA</t>
  </si>
  <si>
    <t>K R DEVANAND</t>
  </si>
  <si>
    <t>KURUDIYARA HOUSE</t>
  </si>
  <si>
    <t>CHANDAPPADY</t>
  </si>
  <si>
    <t>VALAPAD POSTTHRISSUR DISTRICT, KERALA</t>
  </si>
  <si>
    <t>SREE V A</t>
  </si>
  <si>
    <t>THRISSUR DISTRICTKERALA</t>
  </si>
  <si>
    <t>SHAHIJA HAMEED</t>
  </si>
  <si>
    <t>EDAKKATTUPARAMBIL HOUSE</t>
  </si>
  <si>
    <t>EDAMUTTAM P O</t>
  </si>
  <si>
    <t>SMITHA HANISH</t>
  </si>
  <si>
    <t>VAZHAPULLY HOUSE</t>
  </si>
  <si>
    <t>KAZHIMBRAM P O</t>
  </si>
  <si>
    <t>RAMAKRISHNAN K K</t>
  </si>
  <si>
    <t>KARAYIL HOUSE</t>
  </si>
  <si>
    <t>PRABHAKARAN K K</t>
  </si>
  <si>
    <t>KOLLARA HOUSE, KAITHAKKAL</t>
  </si>
  <si>
    <t>THALIKULAM P.O</t>
  </si>
  <si>
    <t>THALIKULAM</t>
  </si>
  <si>
    <t>CHANDRAMATHY RAMAKRISHNAN</t>
  </si>
  <si>
    <t>KAREYIL HOUSE</t>
  </si>
  <si>
    <t>SARATH V M</t>
  </si>
  <si>
    <t>VATTAPPULLY HOUSE</t>
  </si>
  <si>
    <t>P O . THAMBANKADAVU</t>
  </si>
  <si>
    <t>PEETHAMBARAN K V</t>
  </si>
  <si>
    <t>KURUKKANPARIA HOUSE,</t>
  </si>
  <si>
    <t>THAMPANKADAVU PO</t>
  </si>
  <si>
    <t>THALIKKULAM</t>
  </si>
  <si>
    <t>JAYADEEP K J .</t>
  </si>
  <si>
    <t>KAIPPULLY HOUSE</t>
  </si>
  <si>
    <t>VADAKKUMMURI POST</t>
  </si>
  <si>
    <t>MANGALATH HOUSE</t>
  </si>
  <si>
    <t>POTTORE P OTHRISSUR, KERALA</t>
  </si>
  <si>
    <t>ANEESH P C</t>
  </si>
  <si>
    <t>PARANGANATTU HOUSE</t>
  </si>
  <si>
    <t>MINALOOR P O</t>
  </si>
  <si>
    <t>RAJESH K R</t>
  </si>
  <si>
    <t>KUZHIKKAT HOUSE</t>
  </si>
  <si>
    <t>PERINGAN DOOR</t>
  </si>
  <si>
    <t>SAJAN MATHEW</t>
  </si>
  <si>
    <t>PADANNAMAKKAL HOUSE</t>
  </si>
  <si>
    <t>POOMALA POST</t>
  </si>
  <si>
    <t>NEAR CSI CHURCHTHRISSUR</t>
  </si>
  <si>
    <t>VIJAYKUMAR</t>
  </si>
  <si>
    <t>CHITTILANGATTU</t>
  </si>
  <si>
    <t>RUSVAS</t>
  </si>
  <si>
    <t>PERINGANDOORTHRISSUR</t>
  </si>
  <si>
    <t>GINO P D</t>
  </si>
  <si>
    <t>PALAKKULAM HOUSE</t>
  </si>
  <si>
    <t>THIROOR M G KAVU</t>
  </si>
  <si>
    <t>KRISHNAKUMAR K</t>
  </si>
  <si>
    <t>KIZHAKKUTTU HOUSE</t>
  </si>
  <si>
    <t>VARAVOOR</t>
  </si>
  <si>
    <t>OMANA VARGHESE</t>
  </si>
  <si>
    <t>991, PANANCHIKKAL,</t>
  </si>
  <si>
    <t>1, CHELAKKARA GRAMA PANCHAYATH</t>
  </si>
  <si>
    <t>PRASAD V R</t>
  </si>
  <si>
    <t>VEETTIKKAL HOUSE</t>
  </si>
  <si>
    <t>PARAKULAM</t>
  </si>
  <si>
    <t>KALLEPADAM P OTHRISSUR</t>
  </si>
  <si>
    <t>ABBAS K M</t>
  </si>
  <si>
    <t>KOTTUPURAKKAL HOUSE</t>
  </si>
  <si>
    <t>PAZHAYANNUR</t>
  </si>
  <si>
    <t>43 (10/497), RAMAKRISHNA NIVAS</t>
  </si>
  <si>
    <t>4, THIRUVILWAMALA PANCHAYAT</t>
  </si>
  <si>
    <t>THIRUVILWAMALA</t>
  </si>
  <si>
    <t>GOKULAN</t>
  </si>
  <si>
    <t>SREYAS</t>
  </si>
  <si>
    <t>KILLIMANGALAM P O</t>
  </si>
  <si>
    <t>NAFEESA V</t>
  </si>
  <si>
    <t>POKKAKILLATH HOUSE</t>
  </si>
  <si>
    <t>NAMBAZHIKKAD P O</t>
  </si>
  <si>
    <t>SASEEDHARAN P S</t>
  </si>
  <si>
    <t>POYYARA HOUSE</t>
  </si>
  <si>
    <t>PO- KANJANY</t>
  </si>
  <si>
    <t>PRAMEELA .</t>
  </si>
  <si>
    <t>CHANASSERY KUNDALIYUR</t>
  </si>
  <si>
    <t>MOHAMED SADIK</t>
  </si>
  <si>
    <t>RAYAMARAKKAR VEETIL</t>
  </si>
  <si>
    <t>PO KUNDALIYUR</t>
  </si>
  <si>
    <t>MOOLEKKAT SANKARAN SAROJAM</t>
  </si>
  <si>
    <t>KERACHAN HOUSE</t>
  </si>
  <si>
    <t>ENGANDIYUR P O</t>
  </si>
  <si>
    <t>POKKULANGARA</t>
  </si>
  <si>
    <t>SINNI K L</t>
  </si>
  <si>
    <t>KADAVIL KOTTUKKAL HOUSE</t>
  </si>
  <si>
    <t>RAPHY DEVASSY</t>
  </si>
  <si>
    <t>KOLLANNUR HOUSE</t>
  </si>
  <si>
    <t>BIG BAZAR</t>
  </si>
  <si>
    <t>ARANATTUKARATHRISSUR, KERALA</t>
  </si>
  <si>
    <t>PEEYUS P A</t>
  </si>
  <si>
    <t>PUTHUR HOUSE</t>
  </si>
  <si>
    <t>PUDURUTHY P O</t>
  </si>
  <si>
    <t>THRISSUR DTKERALA</t>
  </si>
  <si>
    <t>BIJU M N</t>
  </si>
  <si>
    <t>MELEPARAMBIL HOUSE</t>
  </si>
  <si>
    <t>RAMAVARMAPURAM P O</t>
  </si>
  <si>
    <t>VILLADAM</t>
  </si>
  <si>
    <t>SURESH KUMAR K N</t>
  </si>
  <si>
    <t>KOLARI HOUSE</t>
  </si>
  <si>
    <t>P O RAMAVARMAPURAM</t>
  </si>
  <si>
    <t>MOHANKUMAR P</t>
  </si>
  <si>
    <t>PULIYATH HOUSE</t>
  </si>
  <si>
    <t>R V PURAM POST</t>
  </si>
  <si>
    <t>DANTIS K VARGHESE</t>
  </si>
  <si>
    <t>315 15 979 KIZHAKKOODAN</t>
  </si>
  <si>
    <t>2 KALATHODE OLLUKKRA</t>
  </si>
  <si>
    <t>GRAMAPACHAYAT</t>
  </si>
  <si>
    <t>PRADEESH T B</t>
  </si>
  <si>
    <t>THAMARASSERY HOUSE</t>
  </si>
  <si>
    <t>PADIYAM PO</t>
  </si>
  <si>
    <t>ANTHIKAD MUTTICHOORTHRISSUR</t>
  </si>
  <si>
    <t>KOONATH PRABHAKARAN AJAYAKUMAR</t>
  </si>
  <si>
    <t>KOONATH HOUSE</t>
  </si>
  <si>
    <t>PO- ANTHIKAD</t>
  </si>
  <si>
    <t>DIVYA M HARINDRANATH</t>
  </si>
  <si>
    <t>MENOTHUPARAMBIL HOUSE</t>
  </si>
  <si>
    <t>NALINI SADAN</t>
  </si>
  <si>
    <t>ANTHIKKAD P O ANTHIKKAD STOPTHRISSUR KERALA</t>
  </si>
  <si>
    <t>SUBRAHMANIAN P K</t>
  </si>
  <si>
    <t>PULLIL HOUSE</t>
  </si>
  <si>
    <t>PULLU</t>
  </si>
  <si>
    <t>ANTHIKAD</t>
  </si>
  <si>
    <t>JAYANTHY RAMAKRISHNAN</t>
  </si>
  <si>
    <t>THANDASSERY</t>
  </si>
  <si>
    <t>8/211, VALAMUKKU</t>
  </si>
  <si>
    <t>PUTHENPEEDIKATHRISSUR</t>
  </si>
  <si>
    <t>THANKAMANI M</t>
  </si>
  <si>
    <t>SREELAYAM</t>
  </si>
  <si>
    <t>THALIYATH HOUSE</t>
  </si>
  <si>
    <t>P O MANNUTHYTHRISSUR</t>
  </si>
  <si>
    <t>MALATHY HRISHIKESAN</t>
  </si>
  <si>
    <t>HARE RAMA</t>
  </si>
  <si>
    <t>MANNUTHYTHRISSUR</t>
  </si>
  <si>
    <t>PAUL MATHEW</t>
  </si>
  <si>
    <t>MULAMKUZHIYIL VEEDU</t>
  </si>
  <si>
    <t>KOOTTALA</t>
  </si>
  <si>
    <t>KOOTTALA P O MULAYAMTHRISSUR, KERALA</t>
  </si>
  <si>
    <t>SIMI GOPINATH .</t>
  </si>
  <si>
    <t>CHANDUVARATH HOUSE</t>
  </si>
  <si>
    <t>CLARA C R</t>
  </si>
  <si>
    <t>NADAVARAMBU P O</t>
  </si>
  <si>
    <t>IRINJALAKUDATHRISSUR KERALA</t>
  </si>
  <si>
    <t>PRESANNA MANOJ KUMAR</t>
  </si>
  <si>
    <t>SAROVARAM</t>
  </si>
  <si>
    <t>MULLOTH HOUSE</t>
  </si>
  <si>
    <t>NADAVARAMBA P OTHRISSUR</t>
  </si>
  <si>
    <t>DINESH .</t>
  </si>
  <si>
    <t>KAREKATTU HOUSE 256</t>
  </si>
  <si>
    <t>CHATHEDATHU</t>
  </si>
  <si>
    <t>PARAMBU</t>
  </si>
  <si>
    <t>JOSHI P N</t>
  </si>
  <si>
    <t>POLAKULATH HOUSE</t>
  </si>
  <si>
    <t>KODUNGALLURKODUNGALLUR</t>
  </si>
  <si>
    <t>DINESH M D</t>
  </si>
  <si>
    <t>MADATHIKULANGARA MADATHUMPADY P O</t>
  </si>
  <si>
    <t>POYYA KODUNGALLUR</t>
  </si>
  <si>
    <t>PUSHPAN K R</t>
  </si>
  <si>
    <t>327/VI</t>
  </si>
  <si>
    <t>KAYEEPARAMBIL H</t>
  </si>
  <si>
    <t>KODUNGALLURTHRISSUR</t>
  </si>
  <si>
    <t>MOHAMED RAFI K I</t>
  </si>
  <si>
    <t>KARIKKAPADATH HOUSE</t>
  </si>
  <si>
    <t>P.O. ERIYAD</t>
  </si>
  <si>
    <t>STANLY SEBASTIAN</t>
  </si>
  <si>
    <t>PULIKKATHARA HOUSE</t>
  </si>
  <si>
    <t>KODUNGALLURKERALA</t>
  </si>
  <si>
    <t>NAVYA A KUMARAN</t>
  </si>
  <si>
    <t>KOTHAPARAMBU</t>
  </si>
  <si>
    <t>T.C.SUDHEERKUMAR .</t>
  </si>
  <si>
    <t>THERPURAKKAL (H)</t>
  </si>
  <si>
    <t>P.VEMBALLUR</t>
  </si>
  <si>
    <t>SHOWN VARGHESE</t>
  </si>
  <si>
    <t>IRINJALAKUDATHRISSUR, KERALA</t>
  </si>
  <si>
    <t>FASAL P A .</t>
  </si>
  <si>
    <t>PUTHIYAVEETIL HOUSE</t>
  </si>
  <si>
    <t>CHALINGAD POST</t>
  </si>
  <si>
    <t>SAJEEV K R</t>
  </si>
  <si>
    <t>KOCHERY HOUSE</t>
  </si>
  <si>
    <t>PULLUR P O</t>
  </si>
  <si>
    <t>URAKAM</t>
  </si>
  <si>
    <t>UMADEVI E P</t>
  </si>
  <si>
    <t>ERINJALAPPILLY MANA</t>
  </si>
  <si>
    <t>KALLETTUMKARA POST</t>
  </si>
  <si>
    <t>ANNIE GEORGE</t>
  </si>
  <si>
    <t>KALLINGAL HOUSE</t>
  </si>
  <si>
    <t>THURAVANKAD</t>
  </si>
  <si>
    <t>PULLUR P.OPULLUR</t>
  </si>
  <si>
    <t>JOSHY JOHN AVARAN</t>
  </si>
  <si>
    <t>AVARAN HOUSE</t>
  </si>
  <si>
    <t>MULLAKADPULLUR</t>
  </si>
  <si>
    <t>P A MEHABOOB</t>
  </si>
  <si>
    <t>PANIKKAVEETIL HOUSE</t>
  </si>
  <si>
    <t>POST MATHILAKAM</t>
  </si>
  <si>
    <t>P RAVIKUMAR .</t>
  </si>
  <si>
    <t>PULAKKAL HOUSE</t>
  </si>
  <si>
    <t>PERINJANAM P O</t>
  </si>
  <si>
    <t>SHAJI A N</t>
  </si>
  <si>
    <t>ALEKKARAN</t>
  </si>
  <si>
    <t>PERINNANAM</t>
  </si>
  <si>
    <t>MATHILAKAMTRICHUR</t>
  </si>
  <si>
    <t>RAJAN T K</t>
  </si>
  <si>
    <t>THEPARAMBIL HOUSE</t>
  </si>
  <si>
    <t>POST KAIPAMANGALAM</t>
  </si>
  <si>
    <t>SINDHU SUNIL</t>
  </si>
  <si>
    <t>PARASSERY HOUSE</t>
  </si>
  <si>
    <t>CHENTRAPINNI</t>
  </si>
  <si>
    <t>SANJEEVANI CHANDRAN</t>
  </si>
  <si>
    <t>KARAYIL THEKKOOTT HOUSE</t>
  </si>
  <si>
    <t>CHAMAKKALA POST</t>
  </si>
  <si>
    <t>CHENTRAPPINNI</t>
  </si>
  <si>
    <t>SUKUMARAN K A</t>
  </si>
  <si>
    <t>KOOPULLY PARAMBIL</t>
  </si>
  <si>
    <t>PO CHAMAKALA</t>
  </si>
  <si>
    <t>DAISON V D</t>
  </si>
  <si>
    <t>VELLANI HOUSE</t>
  </si>
  <si>
    <t>PERAMBRA P O</t>
  </si>
  <si>
    <t>ERATTAKULAM SAYED MOHAMMED ABDUL RAHIM</t>
  </si>
  <si>
    <t>ERATTAKULAM HOUSE</t>
  </si>
  <si>
    <t>KODALY</t>
  </si>
  <si>
    <t>P O PADY</t>
  </si>
  <si>
    <t>SMITHAMOL MOHANDAS</t>
  </si>
  <si>
    <t>CHUKKATH HOUSE</t>
  </si>
  <si>
    <t>MATTATHUR GRAMA PANCHAYATH</t>
  </si>
  <si>
    <t>CHALAKUDY VIA THRISSUR DIST</t>
  </si>
  <si>
    <t>SUBITHA A A</t>
  </si>
  <si>
    <t>ATHIKKAYI HOUSE</t>
  </si>
  <si>
    <t>VELLANI PO</t>
  </si>
  <si>
    <t>THALIYAPARAMBIL SHANKARANARAYANAN JAYAN</t>
  </si>
  <si>
    <t>THALIYAPARAMBIL HOUSE</t>
  </si>
  <si>
    <t>PONJANAM PO</t>
  </si>
  <si>
    <t>C J ANTO</t>
  </si>
  <si>
    <t>NEDUMPURA</t>
  </si>
  <si>
    <t>P O KATTOORTHRISSUR</t>
  </si>
  <si>
    <t>LISON VARGHESE THOTTUNGAL</t>
  </si>
  <si>
    <t>THOTTUNGAL HOUSE</t>
  </si>
  <si>
    <t>P O EDATHURUTHY</t>
  </si>
  <si>
    <t>EDATHIRUTHYKERALA</t>
  </si>
  <si>
    <t>YOOSUF P K</t>
  </si>
  <si>
    <t>EDATHIRUTHY P O</t>
  </si>
  <si>
    <t>SHAMEER A A .</t>
  </si>
  <si>
    <t>AMBALATHU VEETTIL HOUSE</t>
  </si>
  <si>
    <t>P O EDATHIRUTHY</t>
  </si>
  <si>
    <t>MANOJ KUMAR M. R.</t>
  </si>
  <si>
    <t>MALATH HOUSE</t>
  </si>
  <si>
    <t>KARALAM P. O.</t>
  </si>
  <si>
    <t>PRATHEESH E C</t>
  </si>
  <si>
    <t>ENAMPILLY HOUSE</t>
  </si>
  <si>
    <t>PARIYARAM P O</t>
  </si>
  <si>
    <t>CHALAKUDY, PARIYARAM</t>
  </si>
  <si>
    <t>JABI P L</t>
  </si>
  <si>
    <t>PEENIKKAPARAMBIL HOUSE</t>
  </si>
  <si>
    <t>CHATTKULAM P O</t>
  </si>
  <si>
    <t>CHALAKUDYCHALAKUDY</t>
  </si>
  <si>
    <t>JANCY</t>
  </si>
  <si>
    <t>VAIDYAKARAN HOUSE</t>
  </si>
  <si>
    <t>ELINJIPRA</t>
  </si>
  <si>
    <t>ELINJIPRACHALAKUDY</t>
  </si>
  <si>
    <t>SREEDEVI SAJEEV .</t>
  </si>
  <si>
    <t>POTTA (P.O)</t>
  </si>
  <si>
    <t>CHALAKKUDY</t>
  </si>
  <si>
    <t>MAGGY CHELLAKUDAM</t>
  </si>
  <si>
    <t>CHELLAKUDAM (H)</t>
  </si>
  <si>
    <t>MALA PALLIPURAM</t>
  </si>
  <si>
    <t>TCR (DIST)</t>
  </si>
  <si>
    <t>SURESH KUMAR .</t>
  </si>
  <si>
    <t>KANNATH HOUSE</t>
  </si>
  <si>
    <t>KUZHUR</t>
  </si>
  <si>
    <t>MALA</t>
  </si>
  <si>
    <t>MAHILA AJAYAN</t>
  </si>
  <si>
    <t>JAYA NIVAS</t>
  </si>
  <si>
    <t>ANNAMANADA</t>
  </si>
  <si>
    <t>ANGAMALY</t>
  </si>
  <si>
    <t>M A SASI</t>
  </si>
  <si>
    <t>MOOZHIKKAL HOUSE</t>
  </si>
  <si>
    <t>MELADOOR P O</t>
  </si>
  <si>
    <t>JOY P P</t>
  </si>
  <si>
    <t>PELLISSERY HOUSE</t>
  </si>
  <si>
    <t>MULAYAM P O</t>
  </si>
  <si>
    <t>JOJU JACOB .</t>
  </si>
  <si>
    <t>NEELANKAVIL PARAYIL (HOUSE)</t>
  </si>
  <si>
    <t>KOZHUKULLY P O</t>
  </si>
  <si>
    <t>SIJU SAMUEL</t>
  </si>
  <si>
    <t>SIJU COTAGE MAMAMKUZHY</t>
  </si>
  <si>
    <t>PO VETTIYAR</t>
  </si>
  <si>
    <t>PANDALAM</t>
  </si>
  <si>
    <t>CHITHRA V</t>
  </si>
  <si>
    <t>4/749(A), WEST T D BASIC</t>
  </si>
  <si>
    <t>TRAINING SCHOOL</t>
  </si>
  <si>
    <t>MATTANCHERRY</t>
  </si>
  <si>
    <t>MARY MATHEW</t>
  </si>
  <si>
    <t>M T MATHEW MALIAKAL HOUSE</t>
  </si>
  <si>
    <t>14/1141 D</t>
  </si>
  <si>
    <t>NAZARATH KOCHIKOCHI</t>
  </si>
  <si>
    <t>SURESH G.</t>
  </si>
  <si>
    <t>V/925</t>
  </si>
  <si>
    <t>PATHUMURI LINE</t>
  </si>
  <si>
    <t>G. K. AVENUE ROADMATTANCHERRY, COCHIN</t>
  </si>
  <si>
    <t>PANKAJAKSHAN K</t>
  </si>
  <si>
    <t>JOINT DIRECTOR (WORKS)</t>
  </si>
  <si>
    <t>NAVAL ACADEMY PROJECT</t>
  </si>
  <si>
    <t>KATARI BAGH NAVAL BASEKOCHI</t>
  </si>
  <si>
    <t>LEONA RITA .</t>
  </si>
  <si>
    <t>NERIKAT 16/1683</t>
  </si>
  <si>
    <t>KADUNGAMPARAMBIL</t>
  </si>
  <si>
    <t>THOPPUMPADY</t>
  </si>
  <si>
    <t>ANILA BABU</t>
  </si>
  <si>
    <t>18/562</t>
  </si>
  <si>
    <t>PUTHEZHATH HOUSE</t>
  </si>
  <si>
    <t>PALURUTHYKOCHI</t>
  </si>
  <si>
    <t>SMIGITH K S</t>
  </si>
  <si>
    <t>KUDAKUTHUM PARAMBIL</t>
  </si>
  <si>
    <t>MOOLAMKUZHY</t>
  </si>
  <si>
    <t>MUNDAMVELI, ERNAKULAMKOCHI, KERALA</t>
  </si>
  <si>
    <t>MANOJ P JOSEPH</t>
  </si>
  <si>
    <t>44/256 PERUMBIL</t>
  </si>
  <si>
    <t>POTTAKUZHY</t>
  </si>
  <si>
    <t>KALOOR</t>
  </si>
  <si>
    <t>AJITH K A</t>
  </si>
  <si>
    <t>KANAPPILLY HOUSE</t>
  </si>
  <si>
    <t>CENTENARY ROAD</t>
  </si>
  <si>
    <t>M P JASMINE</t>
  </si>
  <si>
    <t>FLAT NO.104</t>
  </si>
  <si>
    <t>PANRICH MOND, ASHOKA ROAD</t>
  </si>
  <si>
    <t>KALOOR, ERNAKULAMKERALA</t>
  </si>
  <si>
    <t>JOJY JACOB</t>
  </si>
  <si>
    <t>CHEMPARAYIL</t>
  </si>
  <si>
    <t>JEEVANADAM</t>
  </si>
  <si>
    <t>MARKET ROADERNAKULAM</t>
  </si>
  <si>
    <t>SHINY SONI</t>
  </si>
  <si>
    <t>30/1918C,PALLANS MERRY LAND</t>
  </si>
  <si>
    <t>MAMBRA ROAD</t>
  </si>
  <si>
    <t>VYTTILA POCOCHIN</t>
  </si>
  <si>
    <t>PATRIC JUDE</t>
  </si>
  <si>
    <t>KOODARAPPILLIL HOUSE</t>
  </si>
  <si>
    <t>JANATHA ROAD</t>
  </si>
  <si>
    <t>VYTTILAKOCHI</t>
  </si>
  <si>
    <t>LATHA LOUIS</t>
  </si>
  <si>
    <t>31/999 S, THOTTATHIL</t>
  </si>
  <si>
    <t>EXCEL GARDEN, KUNJAN BAVA ROAD</t>
  </si>
  <si>
    <t>PONNURUNNI, VYTTILAERNAKULAM</t>
  </si>
  <si>
    <t>SREELA S</t>
  </si>
  <si>
    <t>2934 E 1</t>
  </si>
  <si>
    <t>SANTI ENCLAVE, A 103, 28</t>
  </si>
  <si>
    <t>ELAMKULAMERNAKULAM</t>
  </si>
  <si>
    <t>AUGUSTINE JOSE MUTHEDATH</t>
  </si>
  <si>
    <t>6 / 467 MUTHEDATHU</t>
  </si>
  <si>
    <t>OVER DALE</t>
  </si>
  <si>
    <t>THRIKKAKAKRAKOCHI</t>
  </si>
  <si>
    <t>V V PAUL .</t>
  </si>
  <si>
    <t>VAKAYIL 46\733-A</t>
  </si>
  <si>
    <t>RAJIV LANE,VADUTHALA</t>
  </si>
  <si>
    <t>DOMINIC FERNANDEZ</t>
  </si>
  <si>
    <t>MULLAVELI HOUSE</t>
  </si>
  <si>
    <t>SCHOOL PADY BUS STOP</t>
  </si>
  <si>
    <t>VADUTHALA POSTCOCHIN</t>
  </si>
  <si>
    <t>S FRANCIS .</t>
  </si>
  <si>
    <t>VELIYIL HOUSE</t>
  </si>
  <si>
    <t>MAHATMA GRANDHALAYAM ROAD</t>
  </si>
  <si>
    <t>VADUTHALA P O</t>
  </si>
  <si>
    <t>RAMAKRISHNAN NAIR G</t>
  </si>
  <si>
    <t>38/1116, GEETHANJALI</t>
  </si>
  <si>
    <t>BMRA 123,B K MENON ROAD,EDAPALLY S O</t>
  </si>
  <si>
    <t>ERNAKULAMKerala</t>
  </si>
  <si>
    <t>BINU G</t>
  </si>
  <si>
    <t>32/2176, UZHINJATHU HOUSE</t>
  </si>
  <si>
    <t>EDAPPALLY P.O</t>
  </si>
  <si>
    <t>KOCHIERNAKULAM</t>
  </si>
  <si>
    <t>SANTHOSH KUMAR C K</t>
  </si>
  <si>
    <t>AMBADY BMCRRA 103 OPP BAKER LANE</t>
  </si>
  <si>
    <t>38/3611 EDAPPALLY VTC</t>
  </si>
  <si>
    <t>ERNAKULAMKERALA</t>
  </si>
  <si>
    <t>ANTO THOMAS</t>
  </si>
  <si>
    <t>HOUSE NO 32/2177 A GATE NO 162</t>
  </si>
  <si>
    <t>P J ANTONY ROAD</t>
  </si>
  <si>
    <t>PUNATHIL PADAM ROADPALARIVATTOM</t>
  </si>
  <si>
    <t>ASOKKUMAR P K</t>
  </si>
  <si>
    <t>KRISHNA VIHAR</t>
  </si>
  <si>
    <t>SOBHA ROAD,PIPIE LINE</t>
  </si>
  <si>
    <t>PALARIVATTOM,COCHIN</t>
  </si>
  <si>
    <t>SARIN PRAKAS</t>
  </si>
  <si>
    <t>40/332 PRAKASAM HOUSE</t>
  </si>
  <si>
    <t>NETTAIKODATH ROAD</t>
  </si>
  <si>
    <t>PALARIVATTOM PO</t>
  </si>
  <si>
    <t>KALAVAMBARA GOPALAN SATHEESH</t>
  </si>
  <si>
    <t>2822 A</t>
  </si>
  <si>
    <t>THAREPPARAMBU</t>
  </si>
  <si>
    <t>BIJOHNS VARGHESE</t>
  </si>
  <si>
    <t>PARAMBATH HOUSE</t>
  </si>
  <si>
    <t>THIRUVANIYOOR P O</t>
  </si>
  <si>
    <t>ERNAKULAMERNAKULAM</t>
  </si>
  <si>
    <t>SINDHU SINDHU</t>
  </si>
  <si>
    <t>23/165, ROHINI</t>
  </si>
  <si>
    <t>THACHPILLI</t>
  </si>
  <si>
    <t>THRIPUNITHURA</t>
  </si>
  <si>
    <t>GRNAKULAM</t>
  </si>
  <si>
    <t>JOHNSON JOHN.P . .</t>
  </si>
  <si>
    <t>PALAKKAPPILLY HOUSE</t>
  </si>
  <si>
    <t>THEKKUMBAGAM MONIPPILLY</t>
  </si>
  <si>
    <t>ROAD TRIPUNITHURA P.O,</t>
  </si>
  <si>
    <t>ARUNKUMAR V J</t>
  </si>
  <si>
    <t>AROMA VARIKKANIKUZHIYIL PISHARI</t>
  </si>
  <si>
    <t>KOVIL ROAD EROOR P O TRIPUNITHURA</t>
  </si>
  <si>
    <t>THOMAS K V</t>
  </si>
  <si>
    <t>KARUKAPPALLI H</t>
  </si>
  <si>
    <t>NADAKKAVU P O</t>
  </si>
  <si>
    <t>BIJU MATHEW</t>
  </si>
  <si>
    <t>ONASSERIL HOUSE</t>
  </si>
  <si>
    <t>THIRUVANIYOORERNAKULAM</t>
  </si>
  <si>
    <t>MURALI O A</t>
  </si>
  <si>
    <t>371 CHERUMUTTATHU</t>
  </si>
  <si>
    <t>THIRUVANKULAM</t>
  </si>
  <si>
    <t>THRIPUNITHURAERNAKULAM</t>
  </si>
  <si>
    <t>GIRISH .M.R.</t>
  </si>
  <si>
    <t>MAPPURATHU HOUSEE</t>
  </si>
  <si>
    <t>KANJIRAMATTOM P O</t>
  </si>
  <si>
    <t>ADIYATH RAVEENDRANATHAN</t>
  </si>
  <si>
    <t>SWAMY SADAN, MARKET ROAD,</t>
  </si>
  <si>
    <t>TRIPUNITHURA,</t>
  </si>
  <si>
    <t>ERNAKULAM,KERALA</t>
  </si>
  <si>
    <t>MARY SUNNY</t>
  </si>
  <si>
    <t>THULUVATH HOUSE</t>
  </si>
  <si>
    <t>BANGALAPARAMBU ROAD</t>
  </si>
  <si>
    <t>PATTERIPURAM , ALUVAERNAKULAM KERALA</t>
  </si>
  <si>
    <t>ADVOCATE TREASURY ROAD</t>
  </si>
  <si>
    <t>ALWAYE</t>
  </si>
  <si>
    <t>ABDUL NISHAD T A</t>
  </si>
  <si>
    <t>THAZHATHANGADY HOUSE</t>
  </si>
  <si>
    <t>THOTTUMUGHOM P O</t>
  </si>
  <si>
    <t>ALUVAERNAKULAM, KERALA</t>
  </si>
  <si>
    <t>USMAN K A</t>
  </si>
  <si>
    <t>KARIPPAI VEEDU, KUNNATHERY</t>
  </si>
  <si>
    <t>JUNCTION, ALOVA</t>
  </si>
  <si>
    <t>THAIKKATTUKARA PO</t>
  </si>
  <si>
    <t>KRISHNA KUMARI P A</t>
  </si>
  <si>
    <t>SOPNAM HOUSE,KALPAKA LANE</t>
  </si>
  <si>
    <t>THOTTAKKATTUKARA</t>
  </si>
  <si>
    <t>SHIBU K B</t>
  </si>
  <si>
    <t>A12 FACT TOWNSHIP</t>
  </si>
  <si>
    <t>UDYOGAMANDAL P O UDYOGAMANDAL</t>
  </si>
  <si>
    <t>GOPINATH U N</t>
  </si>
  <si>
    <t>PUKKATTU HOUSE</t>
  </si>
  <si>
    <t>MUPPATHADAM.P.O</t>
  </si>
  <si>
    <t>DEEPA MATHACHAN</t>
  </si>
  <si>
    <t>KODIYAN HOUSE</t>
  </si>
  <si>
    <t>CHENDAMANGALAM P O</t>
  </si>
  <si>
    <t>N PARURN PARUR</t>
  </si>
  <si>
    <t>K. V. HARIDASAN</t>
  </si>
  <si>
    <t>KARIYAPARAMBU HOUSE</t>
  </si>
  <si>
    <t>THONNIYAKAYU</t>
  </si>
  <si>
    <t>SAINABA</t>
  </si>
  <si>
    <t>KOOLOTH HOUSE</t>
  </si>
  <si>
    <t>SARATH E V</t>
  </si>
  <si>
    <t>EREZHATH HOUSE</t>
  </si>
  <si>
    <t>PARAYAKAD</t>
  </si>
  <si>
    <t>N PARAVUR P OERNAKULAM</t>
  </si>
  <si>
    <t>SARITHA E V</t>
  </si>
  <si>
    <t>THACHERIL KRISHNAN SREELABHAI</t>
  </si>
  <si>
    <t>580 OOLIKKARA, 6 VADAKKEKARA</t>
  </si>
  <si>
    <t>MOOTHUKUNNAM</t>
  </si>
  <si>
    <t>SADANANDAN KAIMAPARAMBIL K</t>
  </si>
  <si>
    <t>476, KAIMAPARAMBIL</t>
  </si>
  <si>
    <t>7, KOTTUVALLIKKADU</t>
  </si>
  <si>
    <t>MOOTHAKUNNAM POSTVADAKKEKKARA</t>
  </si>
  <si>
    <t>THENAMKODATH PAUL JOHNY</t>
  </si>
  <si>
    <t>THENAMKODATH</t>
  </si>
  <si>
    <t>PUTHENPALLY</t>
  </si>
  <si>
    <t>MANGALATH VARGHESE AUGUSTINE</t>
  </si>
  <si>
    <t>MUTTINAKAM</t>
  </si>
  <si>
    <t>VARAPUZHAERNAKULAM</t>
  </si>
  <si>
    <t>ABHILASH VINCENT K</t>
  </si>
  <si>
    <t>VALLUVALLY,KOONAMMAVU P O</t>
  </si>
  <si>
    <t>RAJESH.R</t>
  </si>
  <si>
    <t>ALUNGAPOKKAM HOUSE</t>
  </si>
  <si>
    <t>KIZHAKKEPRUM</t>
  </si>
  <si>
    <t>THATHAPPILLY P.ONORTH PARAVUR</t>
  </si>
  <si>
    <t>SABU P. L.</t>
  </si>
  <si>
    <t>PULICKATHARA HOUSE</t>
  </si>
  <si>
    <t>THEKKETHURUTH</t>
  </si>
  <si>
    <t>GOTHURUTH P. O.ERNAKULAM</t>
  </si>
  <si>
    <t>JAYARAJ K M</t>
  </si>
  <si>
    <t>202, KURUTHEDATH</t>
  </si>
  <si>
    <t>PARAVOOR</t>
  </si>
  <si>
    <t>BINU CHANDRASEKARAN .</t>
  </si>
  <si>
    <t>KALISSERY HOUSE</t>
  </si>
  <si>
    <t>KONGORPILLY P O</t>
  </si>
  <si>
    <t>SEENA GEORGE JOSEPH</t>
  </si>
  <si>
    <t>SANKARAMANGALAM</t>
  </si>
  <si>
    <t>KALESH KUMAR A S .</t>
  </si>
  <si>
    <t>ATTOLY HOUSE, 10 KOOVAPPADY,</t>
  </si>
  <si>
    <t>NR KAPPERIAKAVU BHAGHAVTHI-</t>
  </si>
  <si>
    <t>TEMPLE, KALADY</t>
  </si>
  <si>
    <t>SAJITH K S</t>
  </si>
  <si>
    <t>162 3/ 80 KAPNAKKADAN 10</t>
  </si>
  <si>
    <t>EDAVOOR KOOVAPPADY</t>
  </si>
  <si>
    <t>PANCHAYATH</t>
  </si>
  <si>
    <t>ALIYATTUKUDY MATHAI JOHN .</t>
  </si>
  <si>
    <t>ALIYATTUKUDY (H)</t>
  </si>
  <si>
    <t>CHUNDAKUZHY P.O.</t>
  </si>
  <si>
    <t>REGINA ANTONY</t>
  </si>
  <si>
    <t>THACHIL HOUSE</t>
  </si>
  <si>
    <t>OKKAL P.O</t>
  </si>
  <si>
    <t>THANNIPUZHAKALADY</t>
  </si>
  <si>
    <t>KALADY</t>
  </si>
  <si>
    <t>YACOB KURIAKOSE .</t>
  </si>
  <si>
    <t>464, EDAKKUDI</t>
  </si>
  <si>
    <t>VENGOLA</t>
  </si>
  <si>
    <t>PRATHEESH PAUL .</t>
  </si>
  <si>
    <t>MANDAMKUZHIYIL</t>
  </si>
  <si>
    <t>VILANGU P O</t>
  </si>
  <si>
    <t>JOSE VARGHESE .</t>
  </si>
  <si>
    <t>NEDUVANNOOR</t>
  </si>
  <si>
    <t>CHOWARA P O, CHENGAMANADU</t>
  </si>
  <si>
    <t>DICKSON P M</t>
  </si>
  <si>
    <t>PADAYATTIL HOUSE</t>
  </si>
  <si>
    <t>NEAR E COLONY</t>
  </si>
  <si>
    <t>SAJI JOSEPH</t>
  </si>
  <si>
    <t>ARIECKAL HOUSE</t>
  </si>
  <si>
    <t>OPP ST JOSEPH BOYS H S ANGAMALY PO</t>
  </si>
  <si>
    <t>ERNAKULAM COCHIN KERALAINDIA</t>
  </si>
  <si>
    <t>DENNY THOMAS</t>
  </si>
  <si>
    <t>ANGAMALY P O</t>
  </si>
  <si>
    <t>BEENA P</t>
  </si>
  <si>
    <t>94/7,SOWPARNIKA</t>
  </si>
  <si>
    <t>ASHRAM ROAD</t>
  </si>
  <si>
    <t>MARTIN CHACKO</t>
  </si>
  <si>
    <t>KUDIYIRIPPIL HOUSE</t>
  </si>
  <si>
    <t>MATTOOR, KALADY P O</t>
  </si>
  <si>
    <t>ANGAMALY VIAERNAKULAM</t>
  </si>
  <si>
    <t>LIPINS PAUL</t>
  </si>
  <si>
    <t>KAIPRAMBADAN HOUSE</t>
  </si>
  <si>
    <t>MOOKKANNUR</t>
  </si>
  <si>
    <t>ATTARA P O</t>
  </si>
  <si>
    <t>SIJO SEBASTAIN</t>
  </si>
  <si>
    <t>MADASSERY (HOUSE)</t>
  </si>
  <si>
    <t>MOOKKANNUR (PO)</t>
  </si>
  <si>
    <t>ANGAMALYERNAKULAM</t>
  </si>
  <si>
    <t>SANTHOSH ZACHARIA</t>
  </si>
  <si>
    <t>PUTHUSSERY HOUSE</t>
  </si>
  <si>
    <t>MOOKKANNOOR P O</t>
  </si>
  <si>
    <t>DILEEPKUMAR A N</t>
  </si>
  <si>
    <t>AICKARA HOUSE</t>
  </si>
  <si>
    <t>MANJAPRA P O</t>
  </si>
  <si>
    <t>SUNNY AUGUSTHYKUTTY</t>
  </si>
  <si>
    <t>KACHAPPILLY MANJAPRA,</t>
  </si>
  <si>
    <t>P.O- THAVALAPPARA,</t>
  </si>
  <si>
    <t>SIJO VARGHESE</t>
  </si>
  <si>
    <t>PYNADATH HOUSE</t>
  </si>
  <si>
    <t>MARANGADAM POST</t>
  </si>
  <si>
    <t>PADUAPURAM ANGAMALY</t>
  </si>
  <si>
    <t>PRAKASH JOSE</t>
  </si>
  <si>
    <t>830 PLATHARA 1 UPPUTHARA</t>
  </si>
  <si>
    <t>UPPUTHARA KERALA</t>
  </si>
  <si>
    <t>SAJIN SCARIA</t>
  </si>
  <si>
    <t>CHERIPURAM HOUSE</t>
  </si>
  <si>
    <t>UPPUTHARA P O</t>
  </si>
  <si>
    <t>IDUKKI, KERALA</t>
  </si>
  <si>
    <t>MATHEW K ANTONY .</t>
  </si>
  <si>
    <t>KANNAMUNDAYIL HOUSE</t>
  </si>
  <si>
    <t>KADAMAKKUZHI P O</t>
  </si>
  <si>
    <t>VALLAKDAVU IDUKKI KERALA</t>
  </si>
  <si>
    <t>KATTAPPANA</t>
  </si>
  <si>
    <t>JAMES PULICKAL FRANCIS .</t>
  </si>
  <si>
    <t>PULICKAL HOUSE</t>
  </si>
  <si>
    <t>KOCHUTHOVALA</t>
  </si>
  <si>
    <t>PO KATTAPPANA</t>
  </si>
  <si>
    <t>NAVEEN ANTONY .</t>
  </si>
  <si>
    <t>AMBADAN IDEA N U SHOW ROOM</t>
  </si>
  <si>
    <t>DAVIDRANJAN T .</t>
  </si>
  <si>
    <t>KALLARA CHULLI HOUSE</t>
  </si>
  <si>
    <t>KUMILY PO KUMILY</t>
  </si>
  <si>
    <t>IDUKKI DIST</t>
  </si>
  <si>
    <t>KUMILY</t>
  </si>
  <si>
    <t>THOMAS ANDROOSE .</t>
  </si>
  <si>
    <t>PARAPPALLIL HOUSE</t>
  </si>
  <si>
    <t>KUMILY P.O</t>
  </si>
  <si>
    <t>FEBIN JOSE</t>
  </si>
  <si>
    <t>THEKKEL HOUSE</t>
  </si>
  <si>
    <t>THOPPIPALA P O</t>
  </si>
  <si>
    <t>THOPPIPALAIDUKKI DIST</t>
  </si>
  <si>
    <t>SURESH SEBASTIAN</t>
  </si>
  <si>
    <t>THENGUMALLIL HOUSE</t>
  </si>
  <si>
    <t>ANAKKARA PO</t>
  </si>
  <si>
    <t>ANAKKARA</t>
  </si>
  <si>
    <t>VARGHESE JOSEPH</t>
  </si>
  <si>
    <t>THUNDIYIL HOUSE</t>
  </si>
  <si>
    <t>PULIANMALA P O</t>
  </si>
  <si>
    <t>SUBHASH CHANDRAN .</t>
  </si>
  <si>
    <t>MANGALATHU PUTHENVEEDU</t>
  </si>
  <si>
    <t>VALLAKKADAVU PO</t>
  </si>
  <si>
    <t>VANDIPPERIYAR</t>
  </si>
  <si>
    <t>SIJU JOHN</t>
  </si>
  <si>
    <t>PULLAMPLAYIL</t>
  </si>
  <si>
    <t>VANDIPERIYAR</t>
  </si>
  <si>
    <t>VANDIPERIYARIDUKKI KERALA</t>
  </si>
  <si>
    <t>YOONUS E H .</t>
  </si>
  <si>
    <t>BLOCK NO.738</t>
  </si>
  <si>
    <t>COMBAYAR P O COMBAYAR</t>
  </si>
  <si>
    <t>NEDUMKANDAM</t>
  </si>
  <si>
    <t>BABU JOSEPH</t>
  </si>
  <si>
    <t>NADUVILA VEEDU KALLAR</t>
  </si>
  <si>
    <t>PATTAM COLONY KALLAR PO</t>
  </si>
  <si>
    <t>MUNDERUMA</t>
  </si>
  <si>
    <t>WILSON GEORGE</t>
  </si>
  <si>
    <t>PUSHPA NIVAS</t>
  </si>
  <si>
    <t>NEDUMKANDAM P. O.</t>
  </si>
  <si>
    <t>MANJAPETTYIDUKKI</t>
  </si>
  <si>
    <t>SCARIA OUSEPH .</t>
  </si>
  <si>
    <t>PATTATHEKUZHIYIL HOUSE</t>
  </si>
  <si>
    <t>NEDUMKANANDAM P O</t>
  </si>
  <si>
    <t>NEDUMKANANDAM</t>
  </si>
  <si>
    <t>NAZAR P H</t>
  </si>
  <si>
    <t>455 PATTAMMAVUDIYIL</t>
  </si>
  <si>
    <t>12 IDUKKI DIST</t>
  </si>
  <si>
    <t>ADIMALY PANCHAYATH</t>
  </si>
  <si>
    <t>JOSEPH M A</t>
  </si>
  <si>
    <t>MAPPANIKKATTU HOUSE</t>
  </si>
  <si>
    <t>ADIMALI</t>
  </si>
  <si>
    <t>MANNAMKANDAMKERALA</t>
  </si>
  <si>
    <t>NIBU A N</t>
  </si>
  <si>
    <t>LIC AGENTS CO OPERATIVE</t>
  </si>
  <si>
    <t>SOCIETY LTD NO I - 502</t>
  </si>
  <si>
    <t>JAYAN P</t>
  </si>
  <si>
    <t>PUTHUMADATHIL HOUSE</t>
  </si>
  <si>
    <t>ADIMALI PO</t>
  </si>
  <si>
    <t>SREENIVASAN P V</t>
  </si>
  <si>
    <t>KARITHALAKKAL HOUSE</t>
  </si>
  <si>
    <t>IRUMPUPALAM</t>
  </si>
  <si>
    <t>VALARA PO</t>
  </si>
  <si>
    <t>PRAVEEN MATHEW</t>
  </si>
  <si>
    <t>ADICHILAMMAKKAL HOUSE</t>
  </si>
  <si>
    <t>PONMUDI PONMUDI PO IDUKKI</t>
  </si>
  <si>
    <t>PONMUDI</t>
  </si>
  <si>
    <t>K J THOMAS .</t>
  </si>
  <si>
    <t>KALAPURAYIL HOUSE</t>
  </si>
  <si>
    <t>P O CHEMMANAR</t>
  </si>
  <si>
    <t>SREEJUMON TR</t>
  </si>
  <si>
    <t>WESTKODIKKULAM PO</t>
  </si>
  <si>
    <t>THODUPUZHA</t>
  </si>
  <si>
    <t>CYRIL KARINTHOLIL JAMES</t>
  </si>
  <si>
    <t>KARINTHOLIL HOUSE</t>
  </si>
  <si>
    <t>KALIYAR P O THODUPUZHA</t>
  </si>
  <si>
    <t>PAUL JOSEPH</t>
  </si>
  <si>
    <t>KANNALAYIL HOUSE</t>
  </si>
  <si>
    <t>MOOLAMATTOM</t>
  </si>
  <si>
    <t>ARAKULAMIDUKKI</t>
  </si>
  <si>
    <t>BIJUMON C J</t>
  </si>
  <si>
    <t>CHATHANKOTTU HOUSE</t>
  </si>
  <si>
    <t>THADIYAMPADU P O</t>
  </si>
  <si>
    <t>VAZHATHOPPUIDUKKI, KERALA</t>
  </si>
  <si>
    <t>SAIMY K A .</t>
  </si>
  <si>
    <t>KOLLAMPARAMBIL H</t>
  </si>
  <si>
    <t>RAJAPURAM</t>
  </si>
  <si>
    <t>PO MUTTOM</t>
  </si>
  <si>
    <t>SREEKUMAR B</t>
  </si>
  <si>
    <t>PANAMTHANATHU</t>
  </si>
  <si>
    <t>RAJAKUMARI SOUTH PO</t>
  </si>
  <si>
    <t>NSS COLLEGE, RAJAKUMARI</t>
  </si>
  <si>
    <t>RAJAKUMARI</t>
  </si>
  <si>
    <t>K T MUTHURAMAN</t>
  </si>
  <si>
    <t>MADOTTI HOUSE</t>
  </si>
  <si>
    <t>PERUMACHERIL LANE</t>
  </si>
  <si>
    <t>M C ROADKOTTAYAM, KERALA</t>
  </si>
  <si>
    <t>TOM MATHEW</t>
  </si>
  <si>
    <t>VISESH BHAVAN</t>
  </si>
  <si>
    <t>MUTTAMBALAM P O</t>
  </si>
  <si>
    <t>RAJESH GOVINDA PAI</t>
  </si>
  <si>
    <t>INDUNIVAS</t>
  </si>
  <si>
    <t>S H MOUNT</t>
  </si>
  <si>
    <t>JOHNSON JOSEPH</t>
  </si>
  <si>
    <t>HOUSE NO 18 TYPE 111</t>
  </si>
  <si>
    <t>MEDICAL COLLEGE</t>
  </si>
  <si>
    <t>GANDHINAGAR P OKOTTAYAM</t>
  </si>
  <si>
    <t>ACHAMMA THOMAS .</t>
  </si>
  <si>
    <t>NAMBALATHUSSERIL</t>
  </si>
  <si>
    <t>THELLAKOM P O</t>
  </si>
  <si>
    <t>SHINY ITTY IPE</t>
  </si>
  <si>
    <t>KANDAPPALLIL HOUSE</t>
  </si>
  <si>
    <t>CHENGALAM SOUTH</t>
  </si>
  <si>
    <t>KOTTAYAM KERALACHENGALAM</t>
  </si>
  <si>
    <t>BINU SASI</t>
  </si>
  <si>
    <t>539/8 PANDAVATHUVARYAM</t>
  </si>
  <si>
    <t>MARYATHURUTHU</t>
  </si>
  <si>
    <t>AYMANAM</t>
  </si>
  <si>
    <t>V SUDHIR</t>
  </si>
  <si>
    <t>THAKIDIYIL HOUSE THIRUVANCHOOR</t>
  </si>
  <si>
    <t>SUNNY P K</t>
  </si>
  <si>
    <t>PUTHOOR HOUSE</t>
  </si>
  <si>
    <t>RIZVI HASSAN</t>
  </si>
  <si>
    <t>KOTTACKAD HOUSE</t>
  </si>
  <si>
    <t>PERUNNA EAST P O</t>
  </si>
  <si>
    <t>VARGHESE THOMAS .</t>
  </si>
  <si>
    <t>THYKATTUSERRY HOUSE</t>
  </si>
  <si>
    <t>INDUSTRIAL ESTATE P O</t>
  </si>
  <si>
    <t>BIPIN ROBERT</t>
  </si>
  <si>
    <t>ARUVITHURA P O</t>
  </si>
  <si>
    <t>KONDOOR</t>
  </si>
  <si>
    <t>MARYKUTTY JAMES</t>
  </si>
  <si>
    <t>MARUTHANIYIL HOUSE</t>
  </si>
  <si>
    <t>THIDANAD P O</t>
  </si>
  <si>
    <t>KOTTAYAM, KERALA</t>
  </si>
  <si>
    <t>ANEESH .S</t>
  </si>
  <si>
    <t>CHAITHANYA</t>
  </si>
  <si>
    <t>SOUTH GATE</t>
  </si>
  <si>
    <t>VAIKOMKOTTAYAM</t>
  </si>
  <si>
    <t>MEENA P JOY</t>
  </si>
  <si>
    <t>PERAYIL HOUSE</t>
  </si>
  <si>
    <t>AMBIKA MARKET P O</t>
  </si>
  <si>
    <t>KUDAVECHOORKOTTAYAM, KERALA</t>
  </si>
  <si>
    <t>184 PADANILATH 1 AREEPARAMPU</t>
  </si>
  <si>
    <t>VIJAYAPURAM</t>
  </si>
  <si>
    <t>KOTTAYAM KERALA</t>
  </si>
  <si>
    <t>THANKAM CHERIAN</t>
  </si>
  <si>
    <t>VALIYAPARACKEL</t>
  </si>
  <si>
    <t>KOTHALA P O</t>
  </si>
  <si>
    <t>PAMPADYKOTTAYAM KERALA</t>
  </si>
  <si>
    <t>MARYKUTTY JOSEPH</t>
  </si>
  <si>
    <t>PAYYANIMANDAPATHIL</t>
  </si>
  <si>
    <t>MANALUMKAL P O</t>
  </si>
  <si>
    <t>MANALUMKALMANALUMKAL</t>
  </si>
  <si>
    <t>AJU DOMINIC .</t>
  </si>
  <si>
    <t>NEERUVELIL HOUSE</t>
  </si>
  <si>
    <t>ANAKKAL P O</t>
  </si>
  <si>
    <t>KANJIRAPPALLY</t>
  </si>
  <si>
    <t>MATHEW THOMAS .</t>
  </si>
  <si>
    <t>PANNIKUZHIYIL HOUSE</t>
  </si>
  <si>
    <t>ELAMGULAM</t>
  </si>
  <si>
    <t>KOORALI PO</t>
  </si>
  <si>
    <t>SANIL KUMAR K R</t>
  </si>
  <si>
    <t>KANDATHIL HOUSE</t>
  </si>
  <si>
    <t>EDAKUNNAM P O</t>
  </si>
  <si>
    <t>PARATHODEKOTTAYAM, KERALA</t>
  </si>
  <si>
    <t>JESSY JOSE</t>
  </si>
  <si>
    <t>TOMIN MEDICALS</t>
  </si>
  <si>
    <t>MUNDAKAYAM</t>
  </si>
  <si>
    <t>PUNNOOSE THOMAS</t>
  </si>
  <si>
    <t>PAZHAYATTINKAL HOUSE</t>
  </si>
  <si>
    <t>PATHAMUTTOM POST</t>
  </si>
  <si>
    <t>THOMAS P V</t>
  </si>
  <si>
    <t>PLAMPARAMBIL THOPPIL</t>
  </si>
  <si>
    <t>CHANNANICADU P.O</t>
  </si>
  <si>
    <t>REKHA MADHU .</t>
  </si>
  <si>
    <t>VAKKAYIL HOUSE</t>
  </si>
  <si>
    <t>MALAKUNNAM P O</t>
  </si>
  <si>
    <t>KIRAN KUMAR K M</t>
  </si>
  <si>
    <t>KUNNACKAL HOUSE</t>
  </si>
  <si>
    <t>UMBIDI P O</t>
  </si>
  <si>
    <t>BOBY GEORGE THOMAS</t>
  </si>
  <si>
    <t>KAIYALAPARAMPIL HOUS NO IV 385</t>
  </si>
  <si>
    <t>UMPIDI PO THOTTAKAD VIA</t>
  </si>
  <si>
    <t>KOTTAYAM KERALAINDIA</t>
  </si>
  <si>
    <t>KARUKACHAL</t>
  </si>
  <si>
    <t>AMPILY C NAIR .</t>
  </si>
  <si>
    <t>PUTHENPURAYIL(H)</t>
  </si>
  <si>
    <t>UMBIDI PO</t>
  </si>
  <si>
    <t>THOTTAKADU</t>
  </si>
  <si>
    <t>MANIAMMA K S</t>
  </si>
  <si>
    <t>PUTHUPARAMBIL CHAMPAKARA PO</t>
  </si>
  <si>
    <t>KARUKACHALKerala</t>
  </si>
  <si>
    <t>BIJU K K</t>
  </si>
  <si>
    <t>KOCHUPURACKAL HOUSE</t>
  </si>
  <si>
    <t>CHAMPAKARA P.O</t>
  </si>
  <si>
    <t>CIJUMON CHARIVENPURATH .</t>
  </si>
  <si>
    <t>ARIYIKKAL THUNDIYIL</t>
  </si>
  <si>
    <t>KANGAZHA P O</t>
  </si>
  <si>
    <t>RAJU P V .</t>
  </si>
  <si>
    <t>PUTHUVELIL PADINJATTAYIL</t>
  </si>
  <si>
    <t>EDAYARICKAPUZHA P O</t>
  </si>
  <si>
    <t>KANGAZHA</t>
  </si>
  <si>
    <t>JOSE P JAMES</t>
  </si>
  <si>
    <t>PONNADATHAMKUZHY HOUSE</t>
  </si>
  <si>
    <t>EARTHUVADAKARA P O</t>
  </si>
  <si>
    <t>MANIMALA</t>
  </si>
  <si>
    <t>EMMANUEL PHILIP</t>
  </si>
  <si>
    <t>THEKKEVAYALIL HOUSE</t>
  </si>
  <si>
    <t>KONGANDOOR P O</t>
  </si>
  <si>
    <t>AYARKUNNAMKOTTAYAM, KERALA</t>
  </si>
  <si>
    <t>GEORGE .</t>
  </si>
  <si>
    <t>429 ERATHUVEEDU 9 ARUMANOOR</t>
  </si>
  <si>
    <t>AYARKUNNAM</t>
  </si>
  <si>
    <t>AJITHKUMAR .</t>
  </si>
  <si>
    <t>SYAMALALAYAM ARUMANOOR POST</t>
  </si>
  <si>
    <t>SUNNY JOSEPH</t>
  </si>
  <si>
    <t>THAZHATH CHAZHISSERIL,</t>
  </si>
  <si>
    <t>KATTACHIRA P O</t>
  </si>
  <si>
    <t>KIDANGOOR (VIA)KOTTAYAM,KERALA.</t>
  </si>
  <si>
    <t>BABY M C</t>
  </si>
  <si>
    <t>MALIYACKAL</t>
  </si>
  <si>
    <t>VALLICHIRA P O</t>
  </si>
  <si>
    <t>M R VINAYAKUMARAN NAIR</t>
  </si>
  <si>
    <t>MANASA</t>
  </si>
  <si>
    <t>VELLIEPPALLY P O</t>
  </si>
  <si>
    <t>PALAKOTTAYAM, KERALA</t>
  </si>
  <si>
    <t>ABRAHAM PUTHUMANA</t>
  </si>
  <si>
    <t>46 PUTHUMANA</t>
  </si>
  <si>
    <t>16 PALA P O</t>
  </si>
  <si>
    <t>ANEESH V S .</t>
  </si>
  <si>
    <t>VETTUKALLEL</t>
  </si>
  <si>
    <t>NEERANTHANAM</t>
  </si>
  <si>
    <t>RAMAPURAM BAZAR PO</t>
  </si>
  <si>
    <t>RAMAPURAM</t>
  </si>
  <si>
    <t>SIBI ZACHARIAS</t>
  </si>
  <si>
    <t>CHERUSSERIL</t>
  </si>
  <si>
    <t>BHARANANGANAM P O</t>
  </si>
  <si>
    <t>PALAKOTTAYAM DISTRICT</t>
  </si>
  <si>
    <t>TIJY THOMAS</t>
  </si>
  <si>
    <t>PURAPPANTHANAM HOUSE</t>
  </si>
  <si>
    <t>TEEKOY P O</t>
  </si>
  <si>
    <t>KOTTAYAM(DT)KERALA STATE</t>
  </si>
  <si>
    <t>SURESHKUMAR.P.S .</t>
  </si>
  <si>
    <t>PARAMPAKATHU HOUSE</t>
  </si>
  <si>
    <t>KEZHUVAMKULAM P O</t>
  </si>
  <si>
    <t>JOMON JOSEPH</t>
  </si>
  <si>
    <t>KURUVANPLACKAL</t>
  </si>
  <si>
    <t>MOONILAVU P O</t>
  </si>
  <si>
    <t>MOONILAVU P OMOONILAVU</t>
  </si>
  <si>
    <t>JO VINCENT</t>
  </si>
  <si>
    <t>KAROOR</t>
  </si>
  <si>
    <t>KAROOR P OKOTTAYAM</t>
  </si>
  <si>
    <t>ROBY JACOB</t>
  </si>
  <si>
    <t>THOPPIL HOUSE</t>
  </si>
  <si>
    <t>MUTHOLY P.O.</t>
  </si>
  <si>
    <t>PALAIKEARLA</t>
  </si>
  <si>
    <t>M R GIRIKAPOOR .</t>
  </si>
  <si>
    <t>MAHENDRA VILASAM</t>
  </si>
  <si>
    <t>T V PURAM P O</t>
  </si>
  <si>
    <t>SAJEESH V .</t>
  </si>
  <si>
    <t>THEKKEMANDAPATHIL</t>
  </si>
  <si>
    <t>THALAYAZHAM P O</t>
  </si>
  <si>
    <t>RAJESH ANTONY</t>
  </si>
  <si>
    <t>AIKARAVELIL H</t>
  </si>
  <si>
    <t>SANTHIPURAM</t>
  </si>
  <si>
    <t>PERUVA P O</t>
  </si>
  <si>
    <t>MUTHU BHASKAR</t>
  </si>
  <si>
    <t>SULOCHANA SADANAM</t>
  </si>
  <si>
    <t>KARIKODE P O</t>
  </si>
  <si>
    <t>PERUVAKOTTAYAM</t>
  </si>
  <si>
    <t>SUKUMARAN P G .</t>
  </si>
  <si>
    <t>PARAPPILLI NIRAPPEL</t>
  </si>
  <si>
    <t>KATTAMPACK</t>
  </si>
  <si>
    <t>NEEZHOOR</t>
  </si>
  <si>
    <t>SAJI M JOSEPH</t>
  </si>
  <si>
    <t>MADAPPALLIYIL HOUSE</t>
  </si>
  <si>
    <t>KURUMULLOOR P O</t>
  </si>
  <si>
    <t>KOTTAYAMKERALA INDIA</t>
  </si>
  <si>
    <t>JOSEPH MATHEW</t>
  </si>
  <si>
    <t>KUPPAKARA HOUSE</t>
  </si>
  <si>
    <t>KALIKAVU VEMPALLY P O</t>
  </si>
  <si>
    <t>KURUVILLA BABY</t>
  </si>
  <si>
    <t>THEKKE THOTTIYIL</t>
  </si>
  <si>
    <t>KURAVILANGAD</t>
  </si>
  <si>
    <t>KURAVILANGADKERALA</t>
  </si>
  <si>
    <t>KISHORE</t>
  </si>
  <si>
    <t>VALLIYIL HOUSE</t>
  </si>
  <si>
    <t>UZHAVOOR</t>
  </si>
  <si>
    <t>UZHAVOOR P OKOTTAYAM</t>
  </si>
  <si>
    <t>SAJAN JOSE .</t>
  </si>
  <si>
    <t>MATTAM</t>
  </si>
  <si>
    <t>KURIANAD PO</t>
  </si>
  <si>
    <t>NEETHU MANI</t>
  </si>
  <si>
    <t>MOOLAYILHOUSE</t>
  </si>
  <si>
    <t>KIZHAKKEKARA P O</t>
  </si>
  <si>
    <t>MUVATTUPUZHAERNAKULAM, KERALA</t>
  </si>
  <si>
    <t>SIDHU GORAKHNATH .</t>
  </si>
  <si>
    <t>SAKUNTHALA NIVAS</t>
  </si>
  <si>
    <t>PIRAVOM P O</t>
  </si>
  <si>
    <t>MINI C J</t>
  </si>
  <si>
    <t>642 CHATHANIKKATT</t>
  </si>
  <si>
    <t>5 PAMPAKUDA</t>
  </si>
  <si>
    <t>REEMA JOSE</t>
  </si>
  <si>
    <t>MUNDACKAL HOUSE 131 9/159</t>
  </si>
  <si>
    <t>7 VAZHAKULAM</t>
  </si>
  <si>
    <t>MANJALLOORMUVATTUPUZHA</t>
  </si>
  <si>
    <t>RAIJU ABRAHAM</t>
  </si>
  <si>
    <t>PADINGAREKARAYIL H</t>
  </si>
  <si>
    <t>POTHANICAD P O</t>
  </si>
  <si>
    <t>ROMIO M VARGHESE</t>
  </si>
  <si>
    <t>MANNARAPRAYIL HOUSE</t>
  </si>
  <si>
    <t>PAINGOTTOOR P O</t>
  </si>
  <si>
    <t>KOTHAMANGALAMERNAKULAM, KERALA</t>
  </si>
  <si>
    <t>JUSTIN GEORGE</t>
  </si>
  <si>
    <t>195 A (4/384 F)</t>
  </si>
  <si>
    <t>VADAKKETHADATHIL</t>
  </si>
  <si>
    <t>4 E MARADY MARADY</t>
  </si>
  <si>
    <t>SANTO GEORGE</t>
  </si>
  <si>
    <t>THOTTATHIL HOUSE</t>
  </si>
  <si>
    <t>EAST VAZAPPILLY P O</t>
  </si>
  <si>
    <t>JOSE V P</t>
  </si>
  <si>
    <t>VAZHATTIL PUTHUPADY</t>
  </si>
  <si>
    <t>P O MUVATTUPUZHA</t>
  </si>
  <si>
    <t>ABDUL SALAM P N</t>
  </si>
  <si>
    <t>PALACHUVATTIL HOUSE</t>
  </si>
  <si>
    <t>KAVUMKARA MARKET-PO</t>
  </si>
  <si>
    <t>MUVATTUPUZHAERNAKULAM</t>
  </si>
  <si>
    <t>DIPIN MATHEW</t>
  </si>
  <si>
    <t>ONEALIL HOUSE</t>
  </si>
  <si>
    <t>KUTHUKUZHI P O</t>
  </si>
  <si>
    <t>M B CHANDRASEKHARAN</t>
  </si>
  <si>
    <t>MATTATHIL PUTHENPURA HOUSE</t>
  </si>
  <si>
    <t>IRAMALLOOR PO KOTHAMANGALAM</t>
  </si>
  <si>
    <t>SABU K K</t>
  </si>
  <si>
    <t>KUZHIKKATHIL HOUSE</t>
  </si>
  <si>
    <t>THALOKODE KOTHAMANGALAM</t>
  </si>
  <si>
    <t>MATHEW P U</t>
  </si>
  <si>
    <t>1/518 PUNNOORPEEDIKAYIL</t>
  </si>
  <si>
    <t>OORAMANA PO</t>
  </si>
  <si>
    <t>KOTTARAKKARA</t>
  </si>
  <si>
    <t>ROSHNI R</t>
  </si>
  <si>
    <t>RAJEEVAM</t>
  </si>
  <si>
    <t>P O SANATHANAPURAM</t>
  </si>
  <si>
    <t>KALARCODEALLEPPEY</t>
  </si>
  <si>
    <t>CHITHRA MOL S .</t>
  </si>
  <si>
    <t>PULIMPARAMBIL AMBADI</t>
  </si>
  <si>
    <t>SANATHANAPURAM P O</t>
  </si>
  <si>
    <t>KALARCODE PUNNAPRA NORTH</t>
  </si>
  <si>
    <t>JACQUELIN CHARLES</t>
  </si>
  <si>
    <t>ALAYAM</t>
  </si>
  <si>
    <t>VADACKKAL VILLAGE ALAPPUZHA</t>
  </si>
  <si>
    <t>WEST SANATHANA PURAMALAPPUZHA</t>
  </si>
  <si>
    <t>V N VIJAYAN .</t>
  </si>
  <si>
    <t>428 , VIPIN NIVAS</t>
  </si>
  <si>
    <t>14 PUNNAPRA</t>
  </si>
  <si>
    <t>ALAPUZHA</t>
  </si>
  <si>
    <t>SUNIL KUMAR R</t>
  </si>
  <si>
    <t>THEKKE KOYIKKAL</t>
  </si>
  <si>
    <t>PUNNAPRA</t>
  </si>
  <si>
    <t>ALAPPUZHAALAPPUZHA</t>
  </si>
  <si>
    <t>SHILA C</t>
  </si>
  <si>
    <t>444F 10/131 KUNNATH</t>
  </si>
  <si>
    <t>1 PUNNAPRA PANCHAYAT</t>
  </si>
  <si>
    <t>WEST OF PUNNAPRA RAILWAY STATIONALAPPUZHA KERALA</t>
  </si>
  <si>
    <t>KILIYAMPARAMPIL</t>
  </si>
  <si>
    <t>THONDANKULANGARA</t>
  </si>
  <si>
    <t>ANITHA VINOD</t>
  </si>
  <si>
    <t>DEVANANDANAM</t>
  </si>
  <si>
    <t>THUMPOLY P O</t>
  </si>
  <si>
    <t>BINNY JOSE .</t>
  </si>
  <si>
    <t>CHENGANDATIL HOUSE</t>
  </si>
  <si>
    <t>PONGA PO</t>
  </si>
  <si>
    <t>VISWANATHAN N</t>
  </si>
  <si>
    <t>PATHIRAPALLY P O</t>
  </si>
  <si>
    <t>BEJOY P V</t>
  </si>
  <si>
    <t>PANATHUPARAMBIL</t>
  </si>
  <si>
    <t>KALAVOOR PO</t>
  </si>
  <si>
    <t>KALAVOOR</t>
  </si>
  <si>
    <t>SIBICHAN P V .</t>
  </si>
  <si>
    <t>PUTHENPURACKAL</t>
  </si>
  <si>
    <t>C M C 26</t>
  </si>
  <si>
    <t>MATHEW KURIAKOSE</t>
  </si>
  <si>
    <t>PUNNACKAL</t>
  </si>
  <si>
    <t>MARUTHORVATTAM</t>
  </si>
  <si>
    <t>CHERTHALAALAPPUZHA, KERALA</t>
  </si>
  <si>
    <t>JOSEPH C M</t>
  </si>
  <si>
    <t>CHULLIKAL</t>
  </si>
  <si>
    <t>CMC 2</t>
  </si>
  <si>
    <t>JOHN T</t>
  </si>
  <si>
    <t>KUNNUMEL PARAMBIL</t>
  </si>
  <si>
    <t>KOKKOTHAMANGALAM P.O</t>
  </si>
  <si>
    <t>CHERTHALAALAPUZHA</t>
  </si>
  <si>
    <t>M.G. ROAD</t>
  </si>
  <si>
    <t>AJAI C K</t>
  </si>
  <si>
    <t>561, CHELLIKKANDATHIL</t>
  </si>
  <si>
    <t>MUHAMMA P O</t>
  </si>
  <si>
    <t>SUNITHA .</t>
  </si>
  <si>
    <t>PALACKAL</t>
  </si>
  <si>
    <t>KARIKKADU</t>
  </si>
  <si>
    <t>THANNEERMUKKOM S O</t>
  </si>
  <si>
    <t>ANTONY JOHN</t>
  </si>
  <si>
    <t>KELAMPARAMBIL</t>
  </si>
  <si>
    <t>THYCATTUSSERRY P O</t>
  </si>
  <si>
    <t>CHERTHALAALAPPUZHA KERALA</t>
  </si>
  <si>
    <t>VINODKUMAR C P</t>
  </si>
  <si>
    <t>CHAMBAPALLY HOUSE</t>
  </si>
  <si>
    <t>OLATHALA</t>
  </si>
  <si>
    <t>PATTANAKAD P O, CHERTHALA</t>
  </si>
  <si>
    <t>GOPINATHAN PILLAI P</t>
  </si>
  <si>
    <t>RAGEESH BHAVANAM</t>
  </si>
  <si>
    <t>WARD NO 4</t>
  </si>
  <si>
    <t>AROOR P O, CHERTHALAALAPPUZHA, KERALA</t>
  </si>
  <si>
    <t>MATHEW</t>
  </si>
  <si>
    <t>H NO 7 485</t>
  </si>
  <si>
    <t>ANGILIKKAL HOUSE</t>
  </si>
  <si>
    <t>KOTTOOR P O KALAVOORALAPPUZHA</t>
  </si>
  <si>
    <t>SARALA DEVI</t>
  </si>
  <si>
    <t>CHERUVARANAM</t>
  </si>
  <si>
    <t>VARANAM POVARANAM</t>
  </si>
  <si>
    <t>SURESH K P</t>
  </si>
  <si>
    <t>S/O Pavithran,Kulangara Veli,Varan</t>
  </si>
  <si>
    <t>am P O,Cheru Varanam,Varanam,Varanam</t>
  </si>
  <si>
    <t>AlappuzhaKERALA</t>
  </si>
  <si>
    <t>SAJEEV GOPINATHAN</t>
  </si>
  <si>
    <t>532 6/355 VINODALAYAM</t>
  </si>
  <si>
    <t>ARYADU PANCHAYAT</t>
  </si>
  <si>
    <t>AMBALAPPUZHA</t>
  </si>
  <si>
    <t>SANTHOSH G</t>
  </si>
  <si>
    <t>MATTATHIL HOUSE</t>
  </si>
  <si>
    <t>THENNADY</t>
  </si>
  <si>
    <t>CHIREYAKAMCHIREYAKAM</t>
  </si>
  <si>
    <t>ABDUL HAMEED MUHAMMED</t>
  </si>
  <si>
    <t>V/638 B</t>
  </si>
  <si>
    <t>PUTHEN VEEDU</t>
  </si>
  <si>
    <t>THAKAZHYALAPPUZHA</t>
  </si>
  <si>
    <t>P T THOMAS .</t>
  </si>
  <si>
    <t>PANACHAMOOTIL H</t>
  </si>
  <si>
    <t>VENPALA P.O</t>
  </si>
  <si>
    <t>NANDA KUMAR .V</t>
  </si>
  <si>
    <t>ANJALI</t>
  </si>
  <si>
    <t>KUTTOOR P O THALAYAR THIRUVALLA</t>
  </si>
  <si>
    <t>PATHANAMTHITTAKERALA</t>
  </si>
  <si>
    <t>JYOTHI JOSE</t>
  </si>
  <si>
    <t>KOLLAMPARARAMPIL</t>
  </si>
  <si>
    <t>PERINGARA P O</t>
  </si>
  <si>
    <t>THIRUVALLAPATHANAMTHITTA</t>
  </si>
  <si>
    <t>DAISY VARGHESE</t>
  </si>
  <si>
    <t>D 4 A 111</t>
  </si>
  <si>
    <t>J P NAGAR</t>
  </si>
  <si>
    <t>STAGE - II, R S P O</t>
  </si>
  <si>
    <t>KUNNEL MAMMEN VARUGHESE</t>
  </si>
  <si>
    <t>VARUGHESE KUNNEL</t>
  </si>
  <si>
    <t>KUNNEL VALIAVEEDU</t>
  </si>
  <si>
    <t>PUTHENCAVU PO CHENGANNUR</t>
  </si>
  <si>
    <t>CHENGANNUR</t>
  </si>
  <si>
    <t>VARUGHESE THOMAS</t>
  </si>
  <si>
    <t>KOODATHIL HOUSE</t>
  </si>
  <si>
    <t>PERISSERY P O</t>
  </si>
  <si>
    <t>CHENGANNURCHENGANNUR</t>
  </si>
  <si>
    <t>SUNNY P MATHAI</t>
  </si>
  <si>
    <t>PUNCHAMANNIL HOUSE</t>
  </si>
  <si>
    <t>PANDANADU WEST P O</t>
  </si>
  <si>
    <t>CHENGANNURALAPPUZHA, KERALA</t>
  </si>
  <si>
    <t>JERIN JACOB</t>
  </si>
  <si>
    <t>10/317 2/58 THANATHODATHIL</t>
  </si>
  <si>
    <t>THADIYOOR P.O, VIA</t>
  </si>
  <si>
    <t>THIRUVALLA,</t>
  </si>
  <si>
    <t>SHIBU JACOB</t>
  </si>
  <si>
    <t>VELLIKARA PUTHEN VEEDU</t>
  </si>
  <si>
    <t>KUMBANAD P O</t>
  </si>
  <si>
    <t>DEVI KRIPA</t>
  </si>
  <si>
    <t>THALAVADY P O</t>
  </si>
  <si>
    <t>SREEKUMAR V</t>
  </si>
  <si>
    <t>GEETHA NIVAS (SANKARAMANGALAM)</t>
  </si>
  <si>
    <t>NEDUMPURAM PO</t>
  </si>
  <si>
    <t>KERALATHIRUVALA</t>
  </si>
  <si>
    <t>VAISAKH CHANDRAN .</t>
  </si>
  <si>
    <t>KACHIRA HOUSE</t>
  </si>
  <si>
    <t>KAVIYOOR P O</t>
  </si>
  <si>
    <t>SANNU MATHEW</t>
  </si>
  <si>
    <t>KAITHAKKATTU HOUSE</t>
  </si>
  <si>
    <t>MALLAPPALLY</t>
  </si>
  <si>
    <t>K KARUNAKARAN NAIR</t>
  </si>
  <si>
    <t>KESAVABHAVAN (H)</t>
  </si>
  <si>
    <t>RAMANKARY PO</t>
  </si>
  <si>
    <t>RAMANKARYKERALA</t>
  </si>
  <si>
    <t>MANESH MATHEW</t>
  </si>
  <si>
    <t>CHOORAKKUZHIYIL,</t>
  </si>
  <si>
    <t>PUTHUSSERY PO</t>
  </si>
  <si>
    <t>KALLOOPARA</t>
  </si>
  <si>
    <t>MANESH MATHEW .</t>
  </si>
  <si>
    <t>CHOORAKUZHIYIL HOUSE</t>
  </si>
  <si>
    <t>PUTHUSSERY SOUTH P O</t>
  </si>
  <si>
    <t>KALLOOPPARA MALLAPPALLY</t>
  </si>
  <si>
    <t>VARGHESE JOHN .</t>
  </si>
  <si>
    <t>MOLAVELIKIUZHIYIL</t>
  </si>
  <si>
    <t>KANJEETTUKARA</t>
  </si>
  <si>
    <t>AYIROOR SOUTH P O</t>
  </si>
  <si>
    <t>THOMAS JACOB .</t>
  </si>
  <si>
    <t>NADUMUKKIL THAZHATHETHIL</t>
  </si>
  <si>
    <t>THEKKUMAL P O</t>
  </si>
  <si>
    <t>KOTTATHOOR AYROOR</t>
  </si>
  <si>
    <t>JOHN KURUVILLA</t>
  </si>
  <si>
    <t>KADAVIL KIZHAKKE PUTHENPURAKKAL</t>
  </si>
  <si>
    <t>PARUMALA P O</t>
  </si>
  <si>
    <t>PATHANAMTHITTA, KERALA</t>
  </si>
  <si>
    <t>BOBBY THOMAS</t>
  </si>
  <si>
    <t>PUNNOOR VILLA</t>
  </si>
  <si>
    <t>VANCHITHRA</t>
  </si>
  <si>
    <t>KOZHENCHERRYPATHANAMTHITTA, KERALA</t>
  </si>
  <si>
    <t>BIJILATHA NAIR</t>
  </si>
  <si>
    <t>LAKSHMI SADANAM</t>
  </si>
  <si>
    <t>PRAKKANAM P O</t>
  </si>
  <si>
    <t>OPP KAITHAVANA TEMPLE</t>
  </si>
  <si>
    <t>SUNITHA</t>
  </si>
  <si>
    <t>VIJAYAVILASAM</t>
  </si>
  <si>
    <t>ELANTHOOR P O</t>
  </si>
  <si>
    <t>ELANTHOORELANTHOOR</t>
  </si>
  <si>
    <t>ABRAHAM V S .</t>
  </si>
  <si>
    <t>VALIYAKOCHETHU</t>
  </si>
  <si>
    <t>ELANTHOOR EAST P O</t>
  </si>
  <si>
    <t>N ANOOP</t>
  </si>
  <si>
    <t>SREEVALSAM</t>
  </si>
  <si>
    <t>AZHOOR</t>
  </si>
  <si>
    <t>SUMESH S .</t>
  </si>
  <si>
    <t>47/VAYALIRAKKATHU</t>
  </si>
  <si>
    <t>22, PATHANAMTHITTA</t>
  </si>
  <si>
    <t>SANKARASUBRAMANIAN .</t>
  </si>
  <si>
    <t>396(25/155), VAZHAKKALAYIL</t>
  </si>
  <si>
    <t>1 CHITTOOR</t>
  </si>
  <si>
    <t>PATHANAMTHITTA MUNICIPALITY</t>
  </si>
  <si>
    <t>KUMARESAN N .</t>
  </si>
  <si>
    <t>KRISHNA NIVAS</t>
  </si>
  <si>
    <t>OPP.GENERAL HOSPITAL</t>
  </si>
  <si>
    <t>PATHANAMTH</t>
  </si>
  <si>
    <t>NAGOOR MEERA A</t>
  </si>
  <si>
    <t>KOTHUVAL VEED NO 1</t>
  </si>
  <si>
    <t>PETTAH</t>
  </si>
  <si>
    <t>SUMADEVI .</t>
  </si>
  <si>
    <t>MADHAVA MANDIRAM</t>
  </si>
  <si>
    <t>OMALLOOR PO</t>
  </si>
  <si>
    <t>HEMA O</t>
  </si>
  <si>
    <t>N JANDUKALLIL HOUSE</t>
  </si>
  <si>
    <t>MUNDU KOTTAKKAL P O PATHANAMTHITTA</t>
  </si>
  <si>
    <t>PATHANAMTHITTA KERALAINDIA</t>
  </si>
  <si>
    <t>SUNNY THOMAS</t>
  </si>
  <si>
    <t>PANIKANTETHU HOUSE</t>
  </si>
  <si>
    <t>KUMBAZHA</t>
  </si>
  <si>
    <t>BIJU ABRAHAM</t>
  </si>
  <si>
    <t>KOLANGIKOMBIL HOUSE</t>
  </si>
  <si>
    <t>THEKKEMALA P O</t>
  </si>
  <si>
    <t>KOZHENCHERRYKERALA</t>
  </si>
  <si>
    <t>SURESH KUMAR N G</t>
  </si>
  <si>
    <t>AYYAPPAS NJAKUNILAM POST</t>
  </si>
  <si>
    <t>VALLI CODE</t>
  </si>
  <si>
    <t>N T THOMAS .</t>
  </si>
  <si>
    <t>NAVARUKIZHAKKETHIL</t>
  </si>
  <si>
    <t>NELLICKAMON P O</t>
  </si>
  <si>
    <t>RANNI</t>
  </si>
  <si>
    <t>SIVARAMAN NAIR SREEKUMAR</t>
  </si>
  <si>
    <t>THAMARASSERIL</t>
  </si>
  <si>
    <t>KERALAARUVAPPULAM</t>
  </si>
  <si>
    <t>KONNI</t>
  </si>
  <si>
    <t>ABDUL SALAM AHEMED</t>
  </si>
  <si>
    <t>MARUTHIMOOTTIL</t>
  </si>
  <si>
    <t>MANGARAM KONNI</t>
  </si>
  <si>
    <t>KONNI P O</t>
  </si>
  <si>
    <t>MANOJ HARIHAREN</t>
  </si>
  <si>
    <t>RAJA BHAVAN NEAR VETERINARY HOSPITAL</t>
  </si>
  <si>
    <t>NADUKKUNNU PATHANAPURAM</t>
  </si>
  <si>
    <t>KOLLAM KERALAINDIA</t>
  </si>
  <si>
    <t>SHAHNAVAS SAINUDEEN</t>
  </si>
  <si>
    <t>NAVAS MANZIL</t>
  </si>
  <si>
    <t>NADUKKUNNU</t>
  </si>
  <si>
    <t>PATHANAPURAMKOLLAM, KERALA</t>
  </si>
  <si>
    <t>GOPAKUMAR G</t>
  </si>
  <si>
    <t>ELLATHUTHEKKEMUNIYIL</t>
  </si>
  <si>
    <t>ELAKALLOOR POST</t>
  </si>
  <si>
    <t>LALY VARGHESE</t>
  </si>
  <si>
    <t>PUTHENVEEDU</t>
  </si>
  <si>
    <t>THAZHAKARA P O</t>
  </si>
  <si>
    <t>MAVELIKARAALLEPPEY DIST</t>
  </si>
  <si>
    <t>HARI KUMAR S</t>
  </si>
  <si>
    <t>VALLIYATHU HOUSE</t>
  </si>
  <si>
    <t>CHENNITHALA PO</t>
  </si>
  <si>
    <t>R SATHEESH CHANDRAN .</t>
  </si>
  <si>
    <t>LEKHA SADANAM</t>
  </si>
  <si>
    <t>KADUVINAL P O</t>
  </si>
  <si>
    <t>VALLIKUNNAM</t>
  </si>
  <si>
    <t>PRADEEP KUMAR T</t>
  </si>
  <si>
    <t>CHAPRAYIL HOUSE</t>
  </si>
  <si>
    <t>ERUVA(WEST)</t>
  </si>
  <si>
    <t>KAYAMKULAM</t>
  </si>
  <si>
    <t>BINU THANKAPPAN</t>
  </si>
  <si>
    <t>ALUMMOOTTIL HOUSE</t>
  </si>
  <si>
    <t>KEERICKAD SOUTH</t>
  </si>
  <si>
    <t>KAYAMKULAM POALAPPUZHA</t>
  </si>
  <si>
    <t>CHANDRA DAS V</t>
  </si>
  <si>
    <t>PAVITHRAM PALACE ROAD</t>
  </si>
  <si>
    <t>ALAPUZHAKERALA</t>
  </si>
  <si>
    <t>ATHIRA GIRISH</t>
  </si>
  <si>
    <t>SREESHYLAM CHIRAKKADAVAM</t>
  </si>
  <si>
    <t>KAYAMKULAM VILLANGE KARTHIGAPPALLY</t>
  </si>
  <si>
    <t>ALAPPUZHAKERALA</t>
  </si>
  <si>
    <t>S P RAMABHADRAN</t>
  </si>
  <si>
    <t>SOUMAYALAYATHU</t>
  </si>
  <si>
    <t>PERUMPALLY</t>
  </si>
  <si>
    <t>VALLIZHEKAL POKAYAMKULAM</t>
  </si>
  <si>
    <t>G SANTHAMMA .</t>
  </si>
  <si>
    <t>CHERUTHALA KARIMULACKAL</t>
  </si>
  <si>
    <t>KOMALLOOR P O</t>
  </si>
  <si>
    <t>CHARUMMOOD</t>
  </si>
  <si>
    <t>C N KARUNANUNNI NAIR .</t>
  </si>
  <si>
    <t>CHARUMMOODU</t>
  </si>
  <si>
    <t>RAMESAN B .</t>
  </si>
  <si>
    <t>CHAKKALA KANDATHIL</t>
  </si>
  <si>
    <t>EROOR NORTH, CHEPPAD P O</t>
  </si>
  <si>
    <t>BABU RIAZUDDEEN</t>
  </si>
  <si>
    <t>SWAPNA</t>
  </si>
  <si>
    <t>PATHIYOORKALA</t>
  </si>
  <si>
    <t>KEERIKKADU P OKAYAMKULAM</t>
  </si>
  <si>
    <t>GEETHA PRASAD .</t>
  </si>
  <si>
    <t>SITHARA CHERIYANADU</t>
  </si>
  <si>
    <t>KOLLAKADAVU P O</t>
  </si>
  <si>
    <t>NIZAR ALI</t>
  </si>
  <si>
    <t>THAYIL HOUSE KOLLAKADAVU</t>
  </si>
  <si>
    <t>MAVELIKARA VIA ALAPPUZHA</t>
  </si>
  <si>
    <t>RONY THOMAS</t>
  </si>
  <si>
    <t>VALIYAVEETTIL</t>
  </si>
  <si>
    <t>KARTHIKAPPALLY PO</t>
  </si>
  <si>
    <t>NEAR KARTHIKAPPALLY POST OFFICEALAPPUZHA</t>
  </si>
  <si>
    <t>P A ABDUL LATHEEF</t>
  </si>
  <si>
    <t>60(7/64)</t>
  </si>
  <si>
    <t>THAKIDIYIL 8</t>
  </si>
  <si>
    <t>ANARY CHERUTHANAALAPIZHA</t>
  </si>
  <si>
    <t>DIANA</t>
  </si>
  <si>
    <t>KARUNAGAPPALLY</t>
  </si>
  <si>
    <t>KOLLAMKOLLAM</t>
  </si>
  <si>
    <t>SASIKUMAR C A DR</t>
  </si>
  <si>
    <t>GOKULAM</t>
  </si>
  <si>
    <t>NANMA NAGAR PADA SOUTH</t>
  </si>
  <si>
    <t>KARUNAGAPALLY KOLLAMKERALA</t>
  </si>
  <si>
    <t>DILEEPKUMAR S</t>
  </si>
  <si>
    <t>ASWATHY MANAKKARA SASTHAM COTTA</t>
  </si>
  <si>
    <t>PRASAD K</t>
  </si>
  <si>
    <t>S H SURGICAL SREEMANGALAM</t>
  </si>
  <si>
    <t>BUILDING</t>
  </si>
  <si>
    <t>PUTHIYADAM KAYAMKULAM</t>
  </si>
  <si>
    <t>BINDU O PILLAI</t>
  </si>
  <si>
    <t>NANDANAM VAVVAKKAVU</t>
  </si>
  <si>
    <t>P O KURUNGAPPALLY</t>
  </si>
  <si>
    <t>SUJAN P G .</t>
  </si>
  <si>
    <t>PUTHENPURACKAL,</t>
  </si>
  <si>
    <t>PATTOOR PO., PADANILAM,</t>
  </si>
  <si>
    <t>NOORANAD,</t>
  </si>
  <si>
    <t>CHANGAYIL PADEETTATHIL</t>
  </si>
  <si>
    <t>S MONKUZHI PULLICKANAKKU</t>
  </si>
  <si>
    <t>P O</t>
  </si>
  <si>
    <t>BINU KUMAR MENON A .</t>
  </si>
  <si>
    <t>KAYAMKULATHETHU HOUSE</t>
  </si>
  <si>
    <t>KIZHAKETHIL AYAPARAMPU</t>
  </si>
  <si>
    <t>CHERUTHANA P O</t>
  </si>
  <si>
    <t>VIJAY S</t>
  </si>
  <si>
    <t>SIVARANGAM</t>
  </si>
  <si>
    <t>PATHIYOOR</t>
  </si>
  <si>
    <t>WEST KARIALAKULANGARA POKAYAMKULAM</t>
  </si>
  <si>
    <t>JAYASREE P</t>
  </si>
  <si>
    <t>AYANI NORTH</t>
  </si>
  <si>
    <t>KARUNAGAPPALLYKARUNAGAPPALLY</t>
  </si>
  <si>
    <t>SURENDRAN V R</t>
  </si>
  <si>
    <t>KRISHNAGIRI, NO H AND CRA 42</t>
  </si>
  <si>
    <t>PULIMOODU</t>
  </si>
  <si>
    <t>MUNDAKKAL P O</t>
  </si>
  <si>
    <t>JAYALEKSHMI S</t>
  </si>
  <si>
    <t>USHUS DESINGANADU NAGAR</t>
  </si>
  <si>
    <t>18 ASRAMAM P O</t>
  </si>
  <si>
    <t>SRI VIGNESH</t>
  </si>
  <si>
    <t>MANALIL NAGAR</t>
  </si>
  <si>
    <t>KONNAYIL KUREEPUZHAKAVANADU P O KOLLAM</t>
  </si>
  <si>
    <t>KISHORE BABU</t>
  </si>
  <si>
    <t>NO. 387,</t>
  </si>
  <si>
    <t>KANNAMN KARAZHIKATHU</t>
  </si>
  <si>
    <t>NO. 8, KANNIMEL 'A'KILIKOLLOOR, KOLLAM, KERALA</t>
  </si>
  <si>
    <t>AJITH KUMAR</t>
  </si>
  <si>
    <t>SRUTHI KARICODE</t>
  </si>
  <si>
    <t>AJI V</t>
  </si>
  <si>
    <t>VADAKKE VEEDU</t>
  </si>
  <si>
    <t>ERAVIPURAM</t>
  </si>
  <si>
    <t>ERAVIPURAM POKOLLAM</t>
  </si>
  <si>
    <t>RAJU PETER</t>
  </si>
  <si>
    <t>BRENSY VILLA, CUTCHERRY WARD</t>
  </si>
  <si>
    <t>SOUTH</t>
  </si>
  <si>
    <t>ANJU V G</t>
  </si>
  <si>
    <t>C D G HOUSE APSARA JUNCTION</t>
  </si>
  <si>
    <t>AYATHIL P O</t>
  </si>
  <si>
    <t>SHYBUKUMAR R</t>
  </si>
  <si>
    <t>SAI PADMA P M NAGAR</t>
  </si>
  <si>
    <t>105 B THATTAMALA</t>
  </si>
  <si>
    <t>KALADHARAKURUP GANGADHARAN PILLAI .</t>
  </si>
  <si>
    <t>THOTTUMPURAM</t>
  </si>
  <si>
    <t>KURUMANDAL</t>
  </si>
  <si>
    <t>SANIL J .</t>
  </si>
  <si>
    <t>J U NIVAS</t>
  </si>
  <si>
    <t>KOONAYIL</t>
  </si>
  <si>
    <t>MURALIKRISHNA K L .</t>
  </si>
  <si>
    <t>PUNNAVILA VEEDU</t>
  </si>
  <si>
    <t>BHOOTHAKULAM P O</t>
  </si>
  <si>
    <t>S SOORAJ</t>
  </si>
  <si>
    <t>KARIMPALOOR</t>
  </si>
  <si>
    <t>PUTHENKULAM</t>
  </si>
  <si>
    <t>KUTTYAMMA GEEVARGHESE</t>
  </si>
  <si>
    <t>VALIYAVILA NEAR HEAD POST OFFICE</t>
  </si>
  <si>
    <t>PUNALUR</t>
  </si>
  <si>
    <t>SURENDRAN PILLAI .</t>
  </si>
  <si>
    <t>ELANJIKKAL VEEDU</t>
  </si>
  <si>
    <t>PANAYAMCHERRY</t>
  </si>
  <si>
    <t>ANCHAL P O</t>
  </si>
  <si>
    <t>SREEJU G</t>
  </si>
  <si>
    <t>P N BHAVAN</t>
  </si>
  <si>
    <t>AGASTHYA CODE</t>
  </si>
  <si>
    <t>ANCHAL P OKOLLAM</t>
  </si>
  <si>
    <t>SUDHEER KUMAR K</t>
  </si>
  <si>
    <t>MODIYIL VEEDU</t>
  </si>
  <si>
    <t>VALAKODU</t>
  </si>
  <si>
    <t>JEEVANKUMAR S .</t>
  </si>
  <si>
    <t>PRASANTH THEKKEMURI</t>
  </si>
  <si>
    <t>EAST KALLADA</t>
  </si>
  <si>
    <t>RAVI SUTHAN PILLAI</t>
  </si>
  <si>
    <t>SREEKRISHNA VILASOM</t>
  </si>
  <si>
    <t>POOVATTOOR (WEST)</t>
  </si>
  <si>
    <t>MAVADY P O</t>
  </si>
  <si>
    <t>ANIL A R</t>
  </si>
  <si>
    <t>RAJANI BHAVAN</t>
  </si>
  <si>
    <t>PARUTHIYARA</t>
  </si>
  <si>
    <t>ODANAVATTOM POKOLLAM</t>
  </si>
  <si>
    <t>KHALEEL MUHAMMED S .</t>
  </si>
  <si>
    <t>VALIYA ROADVILA VEEDU</t>
  </si>
  <si>
    <t>C V N ALLOOR P O</t>
  </si>
  <si>
    <t>ROADVILA</t>
  </si>
  <si>
    <t>RAMACHANDRA KURUP</t>
  </si>
  <si>
    <t>KOCHAYYATHU VEEDU</t>
  </si>
  <si>
    <t>KONNAMANKARA</t>
  </si>
  <si>
    <t>ADOORADOOR</t>
  </si>
  <si>
    <t>ADOOR</t>
  </si>
  <si>
    <t>JOHN P KOSHY .</t>
  </si>
  <si>
    <t>GLORIA BHAVAN</t>
  </si>
  <si>
    <t>THATTAYIL P O</t>
  </si>
  <si>
    <t>JAYARAJ R</t>
  </si>
  <si>
    <t>KARUNA</t>
  </si>
  <si>
    <t>SURABHI ROAD</t>
  </si>
  <si>
    <t>PULAMON.P.OKOTTARAKKARA</t>
  </si>
  <si>
    <t>MURARI P MENON .</t>
  </si>
  <si>
    <t>NEELANJANAM VENGALATHUBHAGAM</t>
  </si>
  <si>
    <t>GOVINDAMANGALAM ROAD PULAMON P O</t>
  </si>
  <si>
    <t>KOTTARAKARA</t>
  </si>
  <si>
    <t>SIBIN Y CHACKO</t>
  </si>
  <si>
    <t>MUKALUVILA VEEDU</t>
  </si>
  <si>
    <t>AMPALAKARA P O</t>
  </si>
  <si>
    <t>VALAKOMKOTTARAKARA</t>
  </si>
  <si>
    <t>PUSHPARAJAN .</t>
  </si>
  <si>
    <t>P J HOUSE</t>
  </si>
  <si>
    <t>AYUR P O</t>
  </si>
  <si>
    <t>RAJEEV KUMAR G .</t>
  </si>
  <si>
    <t>RAJ BHAVAN</t>
  </si>
  <si>
    <t>KULANJIYIL</t>
  </si>
  <si>
    <t>ELAMADU</t>
  </si>
  <si>
    <t>GEORGE PANICKER KUNJACHEN .</t>
  </si>
  <si>
    <t>PARANKIMAM THOTTATHIL</t>
  </si>
  <si>
    <t>PAZHAYATHERUVE</t>
  </si>
  <si>
    <t>KIZHAKKETHERUVU</t>
  </si>
  <si>
    <t>SAJEEV K</t>
  </si>
  <si>
    <t>SATHEESA PURAM</t>
  </si>
  <si>
    <t>CHOORAKODU P O</t>
  </si>
  <si>
    <t>ADOORKOLLAM</t>
  </si>
  <si>
    <t>SREEDHARAN K</t>
  </si>
  <si>
    <t>CHARUVILA PUTHAN VEEDU</t>
  </si>
  <si>
    <t>KADAMPANADU SOUTH P O</t>
  </si>
  <si>
    <t>GEEVARGHESE MATHEW</t>
  </si>
  <si>
    <t>KOTTURAZHIKATHU VEEDU</t>
  </si>
  <si>
    <t>KADAMPANAD SOUTH PO</t>
  </si>
  <si>
    <t>JASTIN KURIAKOSE</t>
  </si>
  <si>
    <t>PADINJATTE PEZHUVILA</t>
  </si>
  <si>
    <t>VEEDU, MYLAKKAD PO</t>
  </si>
  <si>
    <t>THOMAS JACOB</t>
  </si>
  <si>
    <t>8/38 MANCHADI VILAKOM</t>
  </si>
  <si>
    <t>ERAM CHATHANNOOR PO</t>
  </si>
  <si>
    <t>PRASENAN S .</t>
  </si>
  <si>
    <t>KALATHARA</t>
  </si>
  <si>
    <t>KOTTAKKERA</t>
  </si>
  <si>
    <t>PARIPPALLY</t>
  </si>
  <si>
    <t>RASAPPAN P</t>
  </si>
  <si>
    <t>VAISHAKAM</t>
  </si>
  <si>
    <t>MUKKADA</t>
  </si>
  <si>
    <t>PARIPALLY</t>
  </si>
  <si>
    <t>RAJEESH S</t>
  </si>
  <si>
    <t>K L FLAT KULAMADA KIZHAKKANELA PO</t>
  </si>
  <si>
    <t>KOLLAM KERALA</t>
  </si>
  <si>
    <t>JACOB K JACOB</t>
  </si>
  <si>
    <t>KARUMANKOTTU PUTHEN VEEDU</t>
  </si>
  <si>
    <t>MARAKULAM, ADUTHALA P O</t>
  </si>
  <si>
    <t>KARAMCODU, CHATHANNOOR</t>
  </si>
  <si>
    <t>ANTONY BIJOY AUSTIN .</t>
  </si>
  <si>
    <t>KURUSADI BUNGLAVU 1/93</t>
  </si>
  <si>
    <t>SAKTHIKULANGARA P O</t>
  </si>
  <si>
    <t>ADERSH S VASUDEV .</t>
  </si>
  <si>
    <t>ADARSH</t>
  </si>
  <si>
    <t>PUTHUKKADU P O</t>
  </si>
  <si>
    <t>CHAVARA</t>
  </si>
  <si>
    <t>SUKESAN .</t>
  </si>
  <si>
    <t>93 KUMARALAYAM</t>
  </si>
  <si>
    <t>14 THRIKOVILVATTAM</t>
  </si>
  <si>
    <t>IBRAHIMKUTTY</t>
  </si>
  <si>
    <t>POOVILAZHIKOM</t>
  </si>
  <si>
    <t>KANJAVELY P O</t>
  </si>
  <si>
    <t>KOLLAMKERALA</t>
  </si>
  <si>
    <t>S.RAMACHANDRAN .</t>
  </si>
  <si>
    <t>T.C-46/9,20,KARAMANA,</t>
  </si>
  <si>
    <t>MELARANNOOR</t>
  </si>
  <si>
    <t>MOHANAN C K</t>
  </si>
  <si>
    <t>20/1978 HOUSE NO.S-7 SWARALAYA</t>
  </si>
  <si>
    <t>SATHRI NAGAR SOUTH</t>
  </si>
  <si>
    <t>KARAMANA P OTRIVANDRUM</t>
  </si>
  <si>
    <t>JOLLY JOB .</t>
  </si>
  <si>
    <t>SHEROSE,TC 4/1780(63)</t>
  </si>
  <si>
    <t>F-231,PANDIT COLONY APARTMENT</t>
  </si>
  <si>
    <t>DEVASWAM BOARD JN</t>
  </si>
  <si>
    <t>KOWDIAR,TRIVANDRUM</t>
  </si>
  <si>
    <t>ANISH GOPINATH</t>
  </si>
  <si>
    <t>DREAMS PANDIT COLNY</t>
  </si>
  <si>
    <t>DEVASWAM BOARD</t>
  </si>
  <si>
    <t>KOWDIAR POTRIVANDRUM KERALA</t>
  </si>
  <si>
    <t>JOJY JOSE</t>
  </si>
  <si>
    <t>DREAMS, TC 11/1148-2</t>
  </si>
  <si>
    <t>KOWDIAR</t>
  </si>
  <si>
    <t>NANTHANCODE</t>
  </si>
  <si>
    <t>SIVAKUMAR BKS</t>
  </si>
  <si>
    <t>HOUSE NO E 45 MAYOORAM NEW DRAINAGE</t>
  </si>
  <si>
    <t>ROAD PEROOR NAGAR KOWDIAR P O</t>
  </si>
  <si>
    <t>TRIVANDRUM KERALA</t>
  </si>
  <si>
    <t>RAMANUJAM PRABHA</t>
  </si>
  <si>
    <t>NANDINI SADANAM</t>
  </si>
  <si>
    <t>AMPALAMUKKU</t>
  </si>
  <si>
    <t>PO PEROORKADATRIVANDRUM</t>
  </si>
  <si>
    <t>MEERA S KURUP</t>
  </si>
  <si>
    <t>NILA</t>
  </si>
  <si>
    <t>TC 43/129/1</t>
  </si>
  <si>
    <t>KAMALESWARAM, MANAKKAD</t>
  </si>
  <si>
    <t>S C PERUMAL .</t>
  </si>
  <si>
    <t>SREE NAGAR</t>
  </si>
  <si>
    <t>PLOT NO 24</t>
  </si>
  <si>
    <t>MANACAUD P O</t>
  </si>
  <si>
    <t>VIJAYA NAIR</t>
  </si>
  <si>
    <t>VIGRAHA MEDICAL COLLEGE P O</t>
  </si>
  <si>
    <t>SREEKARIYAM TRIVANDRUM</t>
  </si>
  <si>
    <t>SOBHANA NATARAJAN</t>
  </si>
  <si>
    <t>TC 1 1961 POURNAMI VASANT VIHAR</t>
  </si>
  <si>
    <t>GARDENS KUMARAPURAM</t>
  </si>
  <si>
    <t>THIRUVANANTHAPURAM KERALA</t>
  </si>
  <si>
    <t>JAYARAJ KUMAR S</t>
  </si>
  <si>
    <t>GEETANJALI</t>
  </si>
  <si>
    <t>ULLOOR</t>
  </si>
  <si>
    <t>MEDICAL COLLEGE P OTRIVANDRUM</t>
  </si>
  <si>
    <t>SEBI C J</t>
  </si>
  <si>
    <t>1019, CHIRIYAMKANDATH</t>
  </si>
  <si>
    <t>7, PIDAYANI</t>
  </si>
  <si>
    <t>VATTIYOORKKAVU PANCHAYATH</t>
  </si>
  <si>
    <t>BABU VINOD D</t>
  </si>
  <si>
    <t>MUKKOOTTUSSERY TC 11/1495</t>
  </si>
  <si>
    <t>PAROTTUKONAM</t>
  </si>
  <si>
    <t>NALANCHIRA PO</t>
  </si>
  <si>
    <t>G DIVAKARAN</t>
  </si>
  <si>
    <t>MUKKOOTTUSSERY</t>
  </si>
  <si>
    <t>TC 11/1495 PRA-67</t>
  </si>
  <si>
    <t>PAROTTUKONAM NALANCHIRA-POTRIVANDRUM KERALA</t>
  </si>
  <si>
    <t>AMALDEV T S .</t>
  </si>
  <si>
    <t>TC 53/970, SARASWATHY BHAVAN</t>
  </si>
  <si>
    <t>PONNUMANGALAM</t>
  </si>
  <si>
    <t>KARAKKAMANDAPAM, NEMOM P O</t>
  </si>
  <si>
    <t>SARATH S NAIR</t>
  </si>
  <si>
    <t>MARUTHARATHALA VEEDU</t>
  </si>
  <si>
    <t>NEMOM POTRIVANDRUM</t>
  </si>
  <si>
    <t>PADMAKUMAR N</t>
  </si>
  <si>
    <t>SAKUNTHALA NIVAS 9/783</t>
  </si>
  <si>
    <t>OFFICE WARD PALLICHAL PO</t>
  </si>
  <si>
    <t>PUNNAMOODU OFFICE WARDTHIRUVANANTHAPURAM</t>
  </si>
  <si>
    <t>MANU M</t>
  </si>
  <si>
    <t>MADHURIMA</t>
  </si>
  <si>
    <t>TC 13/140, NALUMUKKU</t>
  </si>
  <si>
    <t>PETTAHTRIVANDRUM</t>
  </si>
  <si>
    <t>JAYACHANDRA KURUP</t>
  </si>
  <si>
    <t>PUNARTHAM</t>
  </si>
  <si>
    <t>TC 18/1634 (2)</t>
  </si>
  <si>
    <t>THIRUMALA</t>
  </si>
  <si>
    <t>YAMUNA SREEKUMAR</t>
  </si>
  <si>
    <t>ATTINGAL</t>
  </si>
  <si>
    <t>THIRUVANANTHAPURAM, KERALA</t>
  </si>
  <si>
    <t>SREEKUMARAN PILLAI J</t>
  </si>
  <si>
    <t>SREEKULAM</t>
  </si>
  <si>
    <t>KADUVAYIL</t>
  </si>
  <si>
    <t>ATTINGALTRIVANDRUM</t>
  </si>
  <si>
    <t>BHASI D .</t>
  </si>
  <si>
    <t>9/124, B S LAND</t>
  </si>
  <si>
    <t>ALEMCODU</t>
  </si>
  <si>
    <t>VANCHIYOOR P O</t>
  </si>
  <si>
    <t>ANOOP KUMAR T S .</t>
  </si>
  <si>
    <t>USHAS SRA 142</t>
  </si>
  <si>
    <t>ARATHANGAVILAKAM</t>
  </si>
  <si>
    <t>NEYYATTINKARA</t>
  </si>
  <si>
    <t>SONIYA JERON M</t>
  </si>
  <si>
    <t>SAGARA HOUSE</t>
  </si>
  <si>
    <t>OPP MARTHOMA CHURCH</t>
  </si>
  <si>
    <t>MARIYAPURAM POTRIVANDRUM</t>
  </si>
  <si>
    <t>BENENET YESUDASAN</t>
  </si>
  <si>
    <t>KALLUVILA- NALLOOR</t>
  </si>
  <si>
    <t>VATTOM PLAMOOTTUKADA PO</t>
  </si>
  <si>
    <t>ANILKUMAR S R</t>
  </si>
  <si>
    <t>VENKARA HOUSE</t>
  </si>
  <si>
    <t>KUTTIYATHUMUKKU</t>
  </si>
  <si>
    <t>SARKARA , CHIRAYINKEEZHU POTRIVANDRUM</t>
  </si>
  <si>
    <t>V. BEENU .</t>
  </si>
  <si>
    <t>ARUNODHAYAM</t>
  </si>
  <si>
    <t>NALUMUKKU</t>
  </si>
  <si>
    <t>SASTHAVATTOM P O</t>
  </si>
  <si>
    <t>ANILKUMAR S .</t>
  </si>
  <si>
    <t>370 (5/421), SADANANDA SADANAM</t>
  </si>
  <si>
    <t>5, MUTTAPPALAM, AZHOOR PANCHA-</t>
  </si>
  <si>
    <t>YATH, PERUNGUZHY P O</t>
  </si>
  <si>
    <t>SHEEBA A</t>
  </si>
  <si>
    <t>AL ARAFA</t>
  </si>
  <si>
    <t>NILAKKAMUKKU</t>
  </si>
  <si>
    <t>KADAKKAVUR P OTRIVANDRUM</t>
  </si>
  <si>
    <t>SURESH P</t>
  </si>
  <si>
    <t>MEERAMAYOOHAM</t>
  </si>
  <si>
    <t>POOVAR P O</t>
  </si>
  <si>
    <t>ESWARAN POTTI G</t>
  </si>
  <si>
    <t>MANCHAYIL PUTHEN MADOM</t>
  </si>
  <si>
    <t>NEDUMANGAD P O</t>
  </si>
  <si>
    <t>NEDUMANGADTHIRUVANANTHAPURAM, KERALA</t>
  </si>
  <si>
    <t>PREMACHANDRAN.P.G .</t>
  </si>
  <si>
    <t>MOOZHIYIL HOUSE,</t>
  </si>
  <si>
    <t>AKKOTTUPARA NEAR GOVT</t>
  </si>
  <si>
    <t>.COLLEGE NEDUMANGAD</t>
  </si>
  <si>
    <t>NEDUMANGAD</t>
  </si>
  <si>
    <t>SHARMILA JAYARAMDAS</t>
  </si>
  <si>
    <t>64 A 27/184</t>
  </si>
  <si>
    <t>SHARMILALAYAM 20</t>
  </si>
  <si>
    <t>ARASUPARAMBU</t>
  </si>
  <si>
    <t>SHAJAHAN SHAMSUDEEN</t>
  </si>
  <si>
    <t>PRABHA MANDIRAM</t>
  </si>
  <si>
    <t>IRUTHALAMOOLA</t>
  </si>
  <si>
    <t>THOLICODETHIRUVANANTHAPURAM, KERALA</t>
  </si>
  <si>
    <t>SALAHUDEEN NOORJAHAN NIHAS</t>
  </si>
  <si>
    <t>NIHAS MANZIL VALLIKUZHI</t>
  </si>
  <si>
    <t>PARUTHIKUZHI PO</t>
  </si>
  <si>
    <t>TRIVANDRAM</t>
  </si>
  <si>
    <t>CHANDRIKA K</t>
  </si>
  <si>
    <t>NO 382 IRAPPIL PUTHEN VEEDU</t>
  </si>
  <si>
    <t>ANAD CHULLIMANOOR P O II</t>
  </si>
  <si>
    <t>SASTHAMPARA NEDUMANGADTRIVANDRUM, KERALA</t>
  </si>
  <si>
    <t>ANOOPRAJAN P</t>
  </si>
  <si>
    <t>BLOCK NO 33 EX COLONY PO PACHA</t>
  </si>
  <si>
    <t>PALODE TRIVANDRUM</t>
  </si>
  <si>
    <t>N S LATHIKA KUMARI</t>
  </si>
  <si>
    <t>CHARIS, KATTAKADA</t>
  </si>
  <si>
    <t>KATTAKADA P O</t>
  </si>
  <si>
    <t>SANTHAMMA VARGHESE</t>
  </si>
  <si>
    <t>SHALOM VILLA KERA 37 J M M STUDY CE</t>
  </si>
  <si>
    <t>KERALADITHYAPURAM ULIYAZHATHURA</t>
  </si>
  <si>
    <t>TRIVANDRUMKerala</t>
  </si>
  <si>
    <t>REGHUNATHAN.K .</t>
  </si>
  <si>
    <t>RENILA</t>
  </si>
  <si>
    <t>KALLARA P O</t>
  </si>
  <si>
    <t>MUJEEBRAHMAN .</t>
  </si>
  <si>
    <t>SHYLA MANZIL</t>
  </si>
  <si>
    <t>PARAPPAMAN</t>
  </si>
  <si>
    <t>ADAYAMAN</t>
  </si>
  <si>
    <t>JITHIN SANKAR .</t>
  </si>
  <si>
    <t>THUSHARAM</t>
  </si>
  <si>
    <t>VEMBAYAM P O</t>
  </si>
  <si>
    <t>JINU S .</t>
  </si>
  <si>
    <t>USHAS BHAVAN</t>
  </si>
  <si>
    <t>BHARATHANNOOR</t>
  </si>
  <si>
    <t>BHARATHANOOR P O</t>
  </si>
  <si>
    <t>SURAJ OSWAL</t>
  </si>
  <si>
    <t>58/D, N.S. ROAD</t>
  </si>
  <si>
    <t>ROOM NO.- 617</t>
  </si>
  <si>
    <t>BHASKAR MONDAL</t>
  </si>
  <si>
    <t>1/3D KHASMUL STREET</t>
  </si>
  <si>
    <t>PIYUSH GUPTA</t>
  </si>
  <si>
    <t>1 RAMKUMAR RAKHIT LANE</t>
  </si>
  <si>
    <t>CHINNI PATTI</t>
  </si>
  <si>
    <t>MANISHA BHARTIA</t>
  </si>
  <si>
    <t>21 GOENKA LANE</t>
  </si>
  <si>
    <t>3RD FLOOR</t>
  </si>
  <si>
    <t>NAMITA ROY</t>
  </si>
  <si>
    <t>8/10 KALI KINKAR ROAD</t>
  </si>
  <si>
    <t>CHAITY BANERJEE</t>
  </si>
  <si>
    <t>58/3 SURAH EAST ROAD</t>
  </si>
  <si>
    <t>WEST BENGALINDIA</t>
  </si>
  <si>
    <t>PRANAB BAURA</t>
  </si>
  <si>
    <t>H NO 141/2 B</t>
  </si>
  <si>
    <t>LANN SARANI</t>
  </si>
  <si>
    <t>PUTHUPPALLI THAKADIAL JOSEPH</t>
  </si>
  <si>
    <t>FLAT 1 C, BLOCK-1</t>
  </si>
  <si>
    <t>10 CONVENT ROAD</t>
  </si>
  <si>
    <t>KOLKATAWEST BENGAL</t>
  </si>
  <si>
    <t>KAMRAN ZUHA</t>
  </si>
  <si>
    <t>4 MAYUR BHANJ ROAD</t>
  </si>
  <si>
    <t>TRIBHUWAN PRASAD KOIRI</t>
  </si>
  <si>
    <t>C/O ETERNIT EVEREST LTD</t>
  </si>
  <si>
    <t>1, TARATOLLA ROAD</t>
  </si>
  <si>
    <t>KANISHK MURJCHANDANI</t>
  </si>
  <si>
    <t>261A S N ROY ROAD SAHAPUR SO</t>
  </si>
  <si>
    <t>AVRO BANERJEE</t>
  </si>
  <si>
    <t>32/53, CHANDI GHOSH ROAD</t>
  </si>
  <si>
    <t>DIBYENDU LAL ROY</t>
  </si>
  <si>
    <t>284, BANGUR AVENUE,</t>
  </si>
  <si>
    <t>'B' BLOCK, SOUTH DUMDUM (M)</t>
  </si>
  <si>
    <t>JESSORE ROADNORTH 24 PARGANAS</t>
  </si>
  <si>
    <t>ANJALI DEY</t>
  </si>
  <si>
    <t>188/N</t>
  </si>
  <si>
    <t>HARIDEVPUR ROAD</t>
  </si>
  <si>
    <t>SABITA TAMANG</t>
  </si>
  <si>
    <t>VILL-SENPUKUR,</t>
  </si>
  <si>
    <t>P.O.-UTTAR RAIPUR,</t>
  </si>
  <si>
    <t>P.S.-BUDGE BUDGE,24 PGS(S),</t>
  </si>
  <si>
    <t>PATHIK CHANDRA GORAI</t>
  </si>
  <si>
    <t>SACHINDRA PALLY</t>
  </si>
  <si>
    <t>GARIA</t>
  </si>
  <si>
    <t>PO - PANCHPOTA</t>
  </si>
  <si>
    <t>ROHIT MUCHHAL</t>
  </si>
  <si>
    <t>61/1 JOYNARAYAN</t>
  </si>
  <si>
    <t>ANANDABABU DUTTA LANE</t>
  </si>
  <si>
    <t>HOWRAHWEST BENGAL</t>
  </si>
  <si>
    <t>NAFISHA KHATUN</t>
  </si>
  <si>
    <t>24/A</t>
  </si>
  <si>
    <t>DR H K CHATTERJEE LANE</t>
  </si>
  <si>
    <t>GHUSURI</t>
  </si>
  <si>
    <t>MD AZAM ANSARI</t>
  </si>
  <si>
    <t>MONUDDIN ANSARI ROAD</t>
  </si>
  <si>
    <t>BELURMATH</t>
  </si>
  <si>
    <t>MOHAMMAD ASLAM</t>
  </si>
  <si>
    <t>DR H . K . CHATTERJEE LANE</t>
  </si>
  <si>
    <t>BELUR MATH</t>
  </si>
  <si>
    <t>ACHINTYA KUMAR SARKAR</t>
  </si>
  <si>
    <t>VILL-KANAGARH HOOGHLY</t>
  </si>
  <si>
    <t>P O-NALDANGA</t>
  </si>
  <si>
    <t>DIST HOOGHLYW B</t>
  </si>
  <si>
    <t>UMAPADA GHOSH</t>
  </si>
  <si>
    <t>3, RISHI BANKIM SARANI</t>
  </si>
  <si>
    <t>RISHRA LP</t>
  </si>
  <si>
    <t>70/16, HOOGHLY</t>
  </si>
  <si>
    <t>RISHRA</t>
  </si>
  <si>
    <t>TUSHAR KANTI KUNDU</t>
  </si>
  <si>
    <t>MUKUNDA MURARI KUNDU</t>
  </si>
  <si>
    <t>PO-ARABBAGH,</t>
  </si>
  <si>
    <t>DIST-HOOGHLY,</t>
  </si>
  <si>
    <t>TANMOY BANDHU</t>
  </si>
  <si>
    <t>NARI,</t>
  </si>
  <si>
    <t>ARCHANA ACHARJEE</t>
  </si>
  <si>
    <t>RAJLAKSHI COLONY BARANILPUR</t>
  </si>
  <si>
    <t>SRIPALLY W-13 PURBA BURDWAN</t>
  </si>
  <si>
    <t>SUSANTA KUMAR MUKHERJEE</t>
  </si>
  <si>
    <t>VILLAGE AND POST-AMLA JORA</t>
  </si>
  <si>
    <t>VIA-DURGAPUR</t>
  </si>
  <si>
    <t>WB</t>
  </si>
  <si>
    <t>ASANSOL</t>
  </si>
  <si>
    <t>ASHIM KUMAR GHOSH</t>
  </si>
  <si>
    <t>SOLAR KEMIKAL PURBASHA TEGOR</t>
  </si>
  <si>
    <t>ROADASANSOL ASANSOL M CORP</t>
  </si>
  <si>
    <t>ASANSOL SOUTH BURDWAN</t>
  </si>
  <si>
    <t>OM PRAKASH RATHI</t>
  </si>
  <si>
    <t>FLAT NO C/4C POORVI</t>
  </si>
  <si>
    <t>SHRISTI NAGAR</t>
  </si>
  <si>
    <t>SEN RALEIGH ROAD,</t>
  </si>
  <si>
    <t>GOUTAM CHOWDHURY</t>
  </si>
  <si>
    <t>RADHA NAGAR ROAD</t>
  </si>
  <si>
    <t>PUNJABI PARA</t>
  </si>
  <si>
    <t>MONOJ KUMAR NANDI</t>
  </si>
  <si>
    <t>BAJPAI MORE</t>
  </si>
  <si>
    <t>DIST- BURDWAN</t>
  </si>
  <si>
    <t>PO- UKHRA</t>
  </si>
  <si>
    <t>NIRMAL KISHOR BAJAJ</t>
  </si>
  <si>
    <t>SEKHPURA CHURCH SCHOOL ROAD</t>
  </si>
  <si>
    <t>PASCHIM MEDINIPUR</t>
  </si>
  <si>
    <t>MIDNAPUR</t>
  </si>
  <si>
    <t>MEDINIPORE</t>
  </si>
  <si>
    <t>MANAS CHAKRABORTY</t>
  </si>
  <si>
    <t>VILL-HALDINALA</t>
  </si>
  <si>
    <t>PO-GARHBETA</t>
  </si>
  <si>
    <t>DIST-PASCHIM MEDINIPUR</t>
  </si>
  <si>
    <t>GARHBETA</t>
  </si>
  <si>
    <t>PRASENJIT GARAI</t>
  </si>
  <si>
    <t>MANOHARPUR</t>
  </si>
  <si>
    <t>JADABPUR</t>
  </si>
  <si>
    <t>MANAS DAS</t>
  </si>
  <si>
    <t>VILL AND P.O - KAKRA</t>
  </si>
  <si>
    <t>P.S - BHAGABANPUR</t>
  </si>
  <si>
    <t>DIST - PURBA MEDINIPUR</t>
  </si>
  <si>
    <t>MEDINIPUR</t>
  </si>
  <si>
    <t>PURULIYA</t>
  </si>
  <si>
    <t>DEBASIS BISWAS</t>
  </si>
  <si>
    <t>SINDER PATTY,</t>
  </si>
  <si>
    <t>PURULIA,</t>
  </si>
  <si>
    <t>PRASENJIT GORAI</t>
  </si>
  <si>
    <t>G M MUKHERJEE ROAD</t>
  </si>
  <si>
    <t>NADIHA DIST PURULIA</t>
  </si>
  <si>
    <t>NEAR NADIHA POLICE PHARI</t>
  </si>
  <si>
    <t>PURULIA</t>
  </si>
  <si>
    <t>SURANJANA BANERJEE</t>
  </si>
  <si>
    <t>ANABILA VILLA</t>
  </si>
  <si>
    <t>RANCHI ROAD</t>
  </si>
  <si>
    <t>KULDEEP KUMAR SARAK</t>
  </si>
  <si>
    <t>CO AJIT KUMAR SARAK SHANKRA</t>
  </si>
  <si>
    <t>WEST BENGAL PARA SHANKARA</t>
  </si>
  <si>
    <t>PURULIYA WEST BENGAL</t>
  </si>
  <si>
    <t>BIRBHUM</t>
  </si>
  <si>
    <t>RAJASHREE CHAKRAVORTY</t>
  </si>
  <si>
    <t>26/2 GURUPALLY (SOUTH)</t>
  </si>
  <si>
    <t>SANTI NIKETAN BOLPUR M</t>
  </si>
  <si>
    <t>NORTH DINAJPUR</t>
  </si>
  <si>
    <t>KAVITA SETHIA</t>
  </si>
  <si>
    <t>TULSIPARA PO-RAIGANJ</t>
  </si>
  <si>
    <t>DIST-UTTAR DINAJPUR RAIGANJ</t>
  </si>
  <si>
    <t>SATYA RANJAN DAS</t>
  </si>
  <si>
    <t>S/O JATINDRA MOHAN DAS</t>
  </si>
  <si>
    <t>SUDARSHANPUR EAST</t>
  </si>
  <si>
    <t>PO-RAIGANJ</t>
  </si>
  <si>
    <t>VIKASH GOYAL</t>
  </si>
  <si>
    <t>C/O U GOYAL</t>
  </si>
  <si>
    <t>GOYAL HARDWARE STORE</t>
  </si>
  <si>
    <t>SEVOKE ROAD</t>
  </si>
  <si>
    <t>KAVITA KHEMANI</t>
  </si>
  <si>
    <t>GAGNAND KALORAM,</t>
  </si>
  <si>
    <t>2,CHOWK BAZAR,</t>
  </si>
  <si>
    <t>DARJEELING,WEST BENGAL</t>
  </si>
  <si>
    <t>JAI PRAKASH YADAV</t>
  </si>
  <si>
    <t>ROCKVALE BMC</t>
  </si>
  <si>
    <t>KALIMPONG</t>
  </si>
  <si>
    <t>DIST - DARJEELING</t>
  </si>
  <si>
    <t>DIPES CHANDRA PAL</t>
  </si>
  <si>
    <t>SUBHAS PALLY</t>
  </si>
  <si>
    <t>ALIPURDUAR</t>
  </si>
  <si>
    <t>DORJEELA BHUTIA</t>
  </si>
  <si>
    <t>H NO 169/1 SHOTAK</t>
  </si>
  <si>
    <t>SADAR POLICE STATION</t>
  </si>
  <si>
    <t>GANGTOK SIKKIMINDIA</t>
  </si>
  <si>
    <t>SUMAN PRAMANIK</t>
  </si>
  <si>
    <t>KASIADANGA KASIADANGA</t>
  </si>
  <si>
    <t>DEBASISH DUTTA</t>
  </si>
  <si>
    <t>SUTARGACHHI PURBA,</t>
  </si>
  <si>
    <t>MOUJA-SUTARGACHHI,</t>
  </si>
  <si>
    <t>CHAKDAHA,</t>
  </si>
  <si>
    <t>DIPAK KARMAKAR</t>
  </si>
  <si>
    <t>P.O. RASORAH KANDI</t>
  </si>
  <si>
    <t>DIST MURSHIDABAD</t>
  </si>
  <si>
    <t>KANDI</t>
  </si>
  <si>
    <t>MD JAMIRUL ISLAM</t>
  </si>
  <si>
    <t>VILL PAIKPARA PO SAGIA</t>
  </si>
  <si>
    <t>PS LALGOLA</t>
  </si>
  <si>
    <t>MURSHIDABADWEST BENGAL</t>
  </si>
  <si>
    <t>NITYAGOPAL MANDAL</t>
  </si>
  <si>
    <t>PARA KALITALAPARA UTTARPARA MOUZA</t>
  </si>
  <si>
    <t>KISHMAT EMAD KHIDIRPUR HARIHARPARA</t>
  </si>
  <si>
    <t>NEAR NISCHINTAPUR PANCHAYATMURSHIDABAD WEST BENGAL</t>
  </si>
  <si>
    <t>DIPAK KUMAR BISWAS</t>
  </si>
  <si>
    <t>BONGAON DINABANDHU NAGAR 24</t>
  </si>
  <si>
    <t>PARGANAS</t>
  </si>
  <si>
    <t>TIMIR KUMAR PURKAIT</t>
  </si>
  <si>
    <t>MADHABPUR</t>
  </si>
  <si>
    <t>PO : DIAMOND HARBOUR</t>
  </si>
  <si>
    <t>24 PGS(S)</t>
  </si>
  <si>
    <t>ABHISHEK DAS</t>
  </si>
  <si>
    <t>VILL - BIDYA NAGAR</t>
  </si>
  <si>
    <t>PO + PS - KAKDWIP</t>
  </si>
  <si>
    <t>DIST - 24 PARGANAS (S)</t>
  </si>
  <si>
    <t>NAVNEET SINGH</t>
  </si>
  <si>
    <t>MB NO 2/16</t>
  </si>
  <si>
    <t>BIGGILINE</t>
  </si>
  <si>
    <t>WARD NO 14PORT BLAIR</t>
  </si>
  <si>
    <t>SRI SUBRAT KUMAR PATRA</t>
  </si>
  <si>
    <t>PLOT NO 2127 D</t>
  </si>
  <si>
    <t>MAHARANA SAHI</t>
  </si>
  <si>
    <t>VIVEKA NANDA MARGBHUBANESWAR</t>
  </si>
  <si>
    <t>LATARANI MAHAPATRA</t>
  </si>
  <si>
    <t>PLOT NO 2175 B 4</t>
  </si>
  <si>
    <t>YASODAVIHAR</t>
  </si>
  <si>
    <t>NEAR CHECK GATE SAMANTARAPURBHUBANESWAR</t>
  </si>
  <si>
    <t>RAJESH TRIPATHY</t>
  </si>
  <si>
    <t>PLOT NO 42,</t>
  </si>
  <si>
    <t>BHAGWAT SANDHAN COLONY</t>
  </si>
  <si>
    <t>CANAL RD, GGP, RASULGARHBHUBANESWAR, ORISSA</t>
  </si>
  <si>
    <t>BOKARO STEEL CITY</t>
  </si>
  <si>
    <t>KHORDA</t>
  </si>
  <si>
    <t>NIRUPAMA PANDA</t>
  </si>
  <si>
    <t>FLAT NO 201 LINGRAJ HOMES</t>
  </si>
  <si>
    <t>NILADRI VIHAR ATM CHOWK</t>
  </si>
  <si>
    <t>BHUBANESWAR SAILASHREE VIHAR</t>
  </si>
  <si>
    <t>PURI</t>
  </si>
  <si>
    <t>SAMIR RANJAN RAY</t>
  </si>
  <si>
    <t>SO RADHAMOHAN PATALASINGH</t>
  </si>
  <si>
    <t>BEGUNIA PARICHHAL KHORDHA</t>
  </si>
  <si>
    <t>ORISSA</t>
  </si>
  <si>
    <t>SUBHRANSU SEKHAR SWAIN</t>
  </si>
  <si>
    <t>SORABHA SORABHA</t>
  </si>
  <si>
    <t>RAJAT KUMAR PARIDA</t>
  </si>
  <si>
    <t>AT - POTHA PADA</t>
  </si>
  <si>
    <t>NR HIGH SCHOOL</t>
  </si>
  <si>
    <t>PO - PALLIDIST - JAGATSINGH PUR</t>
  </si>
  <si>
    <t>DEBAKANTA SAHOO</t>
  </si>
  <si>
    <t>AT AMRUTAMANOHI</t>
  </si>
  <si>
    <t>PO NIKIRAI</t>
  </si>
  <si>
    <t>ARUP RATAN SAHOO</t>
  </si>
  <si>
    <t>AT DHABAL GIRI NEAR DORA</t>
  </si>
  <si>
    <t>COLONY PO JAJPUR ROAD PS</t>
  </si>
  <si>
    <t>CHORDA</t>
  </si>
  <si>
    <t>JAJAPUR</t>
  </si>
  <si>
    <t>AMRUTA PANIGRAHI</t>
  </si>
  <si>
    <t>BANK COLONY</t>
  </si>
  <si>
    <t>RANIPATNA</t>
  </si>
  <si>
    <t>BALASOREBALASORE ORRISA</t>
  </si>
  <si>
    <t>ASHISH MOHAPATRA</t>
  </si>
  <si>
    <t>SO UDAYA NARAYAN MOHAPATRA</t>
  </si>
  <si>
    <t>B75 NEAR MODERN PUBLIC</t>
  </si>
  <si>
    <t>SCHOOL MEGHADAMBARU</t>
  </si>
  <si>
    <t>BALESWAR</t>
  </si>
  <si>
    <t>ASHOK KUMAR RANA</t>
  </si>
  <si>
    <t>MAHANTI PADA</t>
  </si>
  <si>
    <t>MOHANTIPADA</t>
  </si>
  <si>
    <t>BALKRISHNA DAS</t>
  </si>
  <si>
    <t>GOVT SERVICE</t>
  </si>
  <si>
    <t>A/T PO HALADIAPADARA</t>
  </si>
  <si>
    <t>GANJAMBERHAMPUR</t>
  </si>
  <si>
    <t>KALAHANDI</t>
  </si>
  <si>
    <t>DEVAKI NANDAN TRIPATHY</t>
  </si>
  <si>
    <t>MALIPADA</t>
  </si>
  <si>
    <t>AT/PO- BHAWANIPATNA</t>
  </si>
  <si>
    <t>DIST-KALAHANDI</t>
  </si>
  <si>
    <t>BHAWANIPATNA</t>
  </si>
  <si>
    <t>LABANGALATA NEGI</t>
  </si>
  <si>
    <t>MAHABIR PADA</t>
  </si>
  <si>
    <t>BHAWANI PATNA</t>
  </si>
  <si>
    <t>RABINDRA KUMAR BISOI</t>
  </si>
  <si>
    <t>Q. NO. A/329, SECTOR-7,</t>
  </si>
  <si>
    <t>ROURKELLA (ORISSA)</t>
  </si>
  <si>
    <t>PARISHMITA GOGOI</t>
  </si>
  <si>
    <t>ALI ROAD LAKHOTIA</t>
  </si>
  <si>
    <t>RAJIB CHOUDHURY</t>
  </si>
  <si>
    <t>C/O N.L. CHOUDHURY</t>
  </si>
  <si>
    <t>SANKAR DEV NAGAR</t>
  </si>
  <si>
    <t>LALGANESHGUWAHATI</t>
  </si>
  <si>
    <t>NIHAR DAS</t>
  </si>
  <si>
    <t>C/O-MUSIC CENTRE</t>
  </si>
  <si>
    <t>PO. RANGAPARA</t>
  </si>
  <si>
    <t>Rangapara</t>
  </si>
  <si>
    <t>ASIM BARMAN</t>
  </si>
  <si>
    <t>C10 DR RUNUMA SHARMA</t>
  </si>
  <si>
    <t>SIBNATH BHATACHARJEE PATH</t>
  </si>
  <si>
    <t>SUBRATA CHAKRABORTY</t>
  </si>
  <si>
    <t>S/O LT SONTOSH KR CHAKRABARTY</t>
  </si>
  <si>
    <t>VILL-RONGPUR IV MV SCHOOL</t>
  </si>
  <si>
    <t>KATLICHERRA</t>
  </si>
  <si>
    <t>HAILAKANDI</t>
  </si>
  <si>
    <t>SAJIKUMAR P G</t>
  </si>
  <si>
    <t>SIB COMPLEX</t>
  </si>
  <si>
    <t>MIZORAM</t>
  </si>
  <si>
    <t>AMAR BISWAKARMA</t>
  </si>
  <si>
    <t>GOLAGHAT ROAD</t>
  </si>
  <si>
    <t>BHOJPUR</t>
  </si>
  <si>
    <t>DEEPAK KUMAR</t>
  </si>
  <si>
    <t>D M ROAD</t>
  </si>
  <si>
    <t>JAGDISHPUR</t>
  </si>
  <si>
    <t>ARA</t>
  </si>
  <si>
    <t>SUDHA KUMARI</t>
  </si>
  <si>
    <t>C/O CHHABI NATH MISHRA</t>
  </si>
  <si>
    <t>AT NAYAY NAGAR ARA DIST BHOJPUR</t>
  </si>
  <si>
    <t>NEAR OLD POLICE LINE HOSPITALARA BIHAR</t>
  </si>
  <si>
    <t>MANI PRAKASH</t>
  </si>
  <si>
    <t>H NO 371, POST-ANAITH</t>
  </si>
  <si>
    <t>PS-NAWADA, NEAR SKYLARK</t>
  </si>
  <si>
    <t>SCHOOL, ANAITH, ARRAH</t>
  </si>
  <si>
    <t>NUTAN ROY</t>
  </si>
  <si>
    <t>C/O KALI PRASAD ROY</t>
  </si>
  <si>
    <t>RAM DAS GUPTA PATH</t>
  </si>
  <si>
    <t>RAMSAR BHAGALPURBHAGALPUR</t>
  </si>
  <si>
    <t>MD MERAJUL HASNAIN</t>
  </si>
  <si>
    <t>NEAR CHAMELICHAK MASJID</t>
  </si>
  <si>
    <t>AT PO HABIBPUR</t>
  </si>
  <si>
    <t>GAYA</t>
  </si>
  <si>
    <t>SUDHISH KUMAR</t>
  </si>
  <si>
    <t>MAGADH COLONY</t>
  </si>
  <si>
    <t>ROAD NO. 7</t>
  </si>
  <si>
    <t>CHANAUTI</t>
  </si>
  <si>
    <t>S/O VISHAMBHAR PRASAD K.P ROAD</t>
  </si>
  <si>
    <t>NEAR TEA SHOP PURANI GODAM</t>
  </si>
  <si>
    <t>G.P.OGAYA</t>
  </si>
  <si>
    <t>PRADEEP KUMAR</t>
  </si>
  <si>
    <t>R N KHATRI</t>
  </si>
  <si>
    <t>SAVITRI SADAN KRISHNAPURI</t>
  </si>
  <si>
    <t>ROAD NO 3 MATWARIHAZARIBAGH</t>
  </si>
  <si>
    <t>BOKARO</t>
  </si>
  <si>
    <t>REJI KUMAR BHARGAVAN</t>
  </si>
  <si>
    <t>QR NO 2181 SECTOR 4A</t>
  </si>
  <si>
    <t>INDU SINGH</t>
  </si>
  <si>
    <t>Q.NO-1288, SECTOR-6B</t>
  </si>
  <si>
    <t>B.S.CITY</t>
  </si>
  <si>
    <t>MADHU DEVI</t>
  </si>
  <si>
    <t>DAL PATTI</t>
  </si>
  <si>
    <t>PO - JHARIA</t>
  </si>
  <si>
    <t>DIST - DHANBAD</t>
  </si>
  <si>
    <t>RAJNATH SHARMA</t>
  </si>
  <si>
    <t>ROAD NO-1, H. NO-37</t>
  </si>
  <si>
    <t>NEW KASHIDIH</t>
  </si>
  <si>
    <t>P.O-SAKCHI</t>
  </si>
  <si>
    <t>KORMA KUTUMBA RAO</t>
  </si>
  <si>
    <t>CHHOTA GAMHARIYA</t>
  </si>
  <si>
    <t>NEAR KPS SCHOOL GAMHARIYA</t>
  </si>
  <si>
    <t>JAMSHEDPURJHARKHAND</t>
  </si>
  <si>
    <t>SUJAY BHATTACHARYYA</t>
  </si>
  <si>
    <t>H NO 52</t>
  </si>
  <si>
    <t>KASHIDA</t>
  </si>
  <si>
    <t>GHATSILAEAST SINGHBHUM JHARKHAND</t>
  </si>
  <si>
    <t>OMPRAKASH KEDIA</t>
  </si>
  <si>
    <t>ADARSH MEDICAL HALL</t>
  </si>
  <si>
    <t>BATA ROAD</t>
  </si>
  <si>
    <t>CHAKRADHARPUR</t>
  </si>
  <si>
    <t>KEWAL DEVI</t>
  </si>
  <si>
    <t>KRISHNA PURIPARBATIATDLA</t>
  </si>
  <si>
    <t>SOUTH OF CHECK POST</t>
  </si>
  <si>
    <t>BARBAT PASRAIN</t>
  </si>
  <si>
    <t>RABI NANDAN KUMAR RAY</t>
  </si>
  <si>
    <t>KRISHNA PURI PARBATIA</t>
  </si>
  <si>
    <t>TOLASOUTH OF CHECK POST</t>
  </si>
  <si>
    <t>BARRAT PASRAIN BETTIAH</t>
  </si>
  <si>
    <t>DARBHANGA</t>
  </si>
  <si>
    <t>SHIV SHANKAR THAKUR</t>
  </si>
  <si>
    <t>RAJ KUMAR GANJ</t>
  </si>
  <si>
    <t>NEAR ALLAHABAD BANK</t>
  </si>
  <si>
    <t>MADHUBANI</t>
  </si>
  <si>
    <t>SHANKAR KUMAR SHRI RAJDEV THAKUR</t>
  </si>
  <si>
    <t>BELAUNCHA</t>
  </si>
  <si>
    <t>SARITHA P.D.</t>
  </si>
  <si>
    <t>P.O.KARAYAMUTTAM</t>
  </si>
  <si>
    <t>VALAPADTRICHUR DIST.</t>
  </si>
  <si>
    <t>BHARGAVI V.R.</t>
  </si>
  <si>
    <t>C/O K.C.VISHWAMBARAN,P.B.NO.63</t>
  </si>
  <si>
    <t>ADV.KAYCEE &amp; KAYCEE AYYANTHOLE</t>
  </si>
  <si>
    <t>TRICHUR DISTRICTKERALA STATE</t>
  </si>
  <si>
    <t>SURENDARAN K K</t>
  </si>
  <si>
    <t>KOOTTALA (H)</t>
  </si>
  <si>
    <t>PO KOOKKENCHERY</t>
  </si>
  <si>
    <t>KARTHIKEYAN P.K.</t>
  </si>
  <si>
    <t>PANIKKASSERY HOUSE, THRIPRAYAR</t>
  </si>
  <si>
    <t>POST NATTIKA</t>
  </si>
  <si>
    <t>TRICHUR DIST.KERALA STATE</t>
  </si>
  <si>
    <t>VENUGOPAL M R</t>
  </si>
  <si>
    <t>MOOTHEDATH (H)</t>
  </si>
  <si>
    <t>SAWMILL ROAD KOORVENCHERY</t>
  </si>
  <si>
    <t>POOKOOYA THANGAL</t>
  </si>
  <si>
    <t>MECHITHODATHIL HOUSE</t>
  </si>
  <si>
    <t>VELLORE PO</t>
  </si>
  <si>
    <t>POOKOTTORMALAPPURAM</t>
  </si>
  <si>
    <t>CHINNAN P P</t>
  </si>
  <si>
    <t>PARAVALLAPPIL HOUSE</t>
  </si>
  <si>
    <t>AMALA S.</t>
  </si>
  <si>
    <t>36 CAR STREET</t>
  </si>
  <si>
    <t>SOWRIPALAYAM</t>
  </si>
  <si>
    <t>COIMBATORETAMILNADU</t>
  </si>
  <si>
    <t>KAMALA K</t>
  </si>
  <si>
    <t>SRUTHY NIVAS ALACHANCODE</t>
  </si>
  <si>
    <t>CHITTUR COLLEGE P O</t>
  </si>
  <si>
    <t>CHITTURPALAKKAD</t>
  </si>
  <si>
    <t>CHANDY KURIAPPAN SUNNY</t>
  </si>
  <si>
    <t>X/1246 CHANDY'S LANE</t>
  </si>
  <si>
    <t>CHURCH CIRCLE(EAST)</t>
  </si>
  <si>
    <t>MURALEEDHARAN T.R.</t>
  </si>
  <si>
    <t>30/522, POONKUNNAM</t>
  </si>
  <si>
    <t>TRICHUR DIST.</t>
  </si>
  <si>
    <t>KERALA STATE</t>
  </si>
  <si>
    <t>RESHMA RADHAKRISHNAN</t>
  </si>
  <si>
    <t>REVATHY, 25 SANTHINAGAR</t>
  </si>
  <si>
    <t>TMC-51/582, PO. AYYANTHOLE</t>
  </si>
  <si>
    <t>BHARGAVI M A</t>
  </si>
  <si>
    <t>W/O LATE PROF.ULPALAKSHAN</t>
  </si>
  <si>
    <t>XIV/352, KRISHNASADAN</t>
  </si>
  <si>
    <t>P O KOORKANCHERYTHRISSUR</t>
  </si>
  <si>
    <t>VALSALA P A</t>
  </si>
  <si>
    <t>KOVILAKAM LANE</t>
  </si>
  <si>
    <t>PERINGAVU</t>
  </si>
  <si>
    <t>SREELEKHA</t>
  </si>
  <si>
    <t>BENNET ROAD</t>
  </si>
  <si>
    <t>DAMODARAN NAIR P</t>
  </si>
  <si>
    <t>WEST POLIKKAL HOUSE</t>
  </si>
  <si>
    <t>CHALAKUDY PO</t>
  </si>
  <si>
    <t>VISWAMBARAN C K</t>
  </si>
  <si>
    <t>PERINGOTTUKARA PO</t>
  </si>
  <si>
    <t>PARAMESWARAN K V</t>
  </si>
  <si>
    <t>KARIPADATH HOUSE</t>
  </si>
  <si>
    <t>VALAPAD BEACH P.O.</t>
  </si>
  <si>
    <t>LONAPPAN M T</t>
  </si>
  <si>
    <t>ARAMPULLY</t>
  </si>
  <si>
    <t>ANJOORMUNDOOR, TRICHUR</t>
  </si>
  <si>
    <t>PRABHAKARAN K.M.</t>
  </si>
  <si>
    <t>KARUMANTHRA HOUSE</t>
  </si>
  <si>
    <t>KIZHAKKUMMURI PO</t>
  </si>
  <si>
    <t>HARIBABU V.A.</t>
  </si>
  <si>
    <t>VALIYAPARAMBIL HOUSE</t>
  </si>
  <si>
    <t>NATTIKA BEACH</t>
  </si>
  <si>
    <t>GOWRI.K.A</t>
  </si>
  <si>
    <t>KAIPILLY HOUSE</t>
  </si>
  <si>
    <t>CHIRAMANENGAD POST</t>
  </si>
  <si>
    <t>JOHNY A P</t>
  </si>
  <si>
    <t>EUUVATHINGAL HOUSE</t>
  </si>
  <si>
    <t>NADUVILKKARA PO</t>
  </si>
  <si>
    <t>VATANAPALLY, THRISSURKERALA</t>
  </si>
  <si>
    <t>RAMANUNNY P.S.</t>
  </si>
  <si>
    <t>POTTEKKATT - HOUSE</t>
  </si>
  <si>
    <t>T C 48/1332,ARANATTUKARA</t>
  </si>
  <si>
    <t>SYLVIA KADER</t>
  </si>
  <si>
    <t>PONNAMPADY PADIYUR</t>
  </si>
  <si>
    <t>AYYAPPAN T.S.</t>
  </si>
  <si>
    <t>THACHILATH HOUSE</t>
  </si>
  <si>
    <t>POST MURKANAD</t>
  </si>
  <si>
    <t>JOSE K L</t>
  </si>
  <si>
    <t>KANNAMPILLY HOUSE</t>
  </si>
  <si>
    <t>SHAJI V</t>
  </si>
  <si>
    <t>ABHINAV</t>
  </si>
  <si>
    <t>VENKULAM</t>
  </si>
  <si>
    <t>EDAVA P OTRIVANDRUM DISTRICT</t>
  </si>
  <si>
    <t>KUNHIRAMAN K</t>
  </si>
  <si>
    <t>OZHINHA VALAPPU (PO)</t>
  </si>
  <si>
    <t>(DIST) KARASAGOD</t>
  </si>
  <si>
    <t>VENUGOPAL K</t>
  </si>
  <si>
    <t>KUTTATH HOUSE</t>
  </si>
  <si>
    <t>VELUR P.O.</t>
  </si>
  <si>
    <t>THRISSUR DT.</t>
  </si>
  <si>
    <t>SREEKUMAR T.K</t>
  </si>
  <si>
    <t>THAZHATHUVEETTIL HOUSE</t>
  </si>
  <si>
    <t>KATTOOR VILLAGE</t>
  </si>
  <si>
    <t>MUKUNDAPURAM TALUKTHRISSUR</t>
  </si>
  <si>
    <t>BINOJ T BABY</t>
  </si>
  <si>
    <t>ST MARYS ROAD</t>
  </si>
  <si>
    <t>CHITOOR ROAD</t>
  </si>
  <si>
    <t>SUBRAMANIAN K.R.</t>
  </si>
  <si>
    <t>"SYAMANTHAKAM"</t>
  </si>
  <si>
    <t>KUTTAMPARAMBATH HOUSE</t>
  </si>
  <si>
    <t>VATANAPPALLY POSTTHRISSUR</t>
  </si>
  <si>
    <t>AMBIKA DINESH</t>
  </si>
  <si>
    <t>PAYYAPAT HOUSE</t>
  </si>
  <si>
    <t>POST GURUVAYOOR</t>
  </si>
  <si>
    <t>KRISHNANKUTTY</t>
  </si>
  <si>
    <t>VELU THAKKI</t>
  </si>
  <si>
    <t>ORUMANAYOOR</t>
  </si>
  <si>
    <t>GOPALAKRISHNAN K K</t>
  </si>
  <si>
    <t>KALLUNGAL HOUSE</t>
  </si>
  <si>
    <t>POST CHENTRAPPINNNY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</si>
</sst>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18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05"/>
  <sheetViews>
    <sheetView showGridLines="0" tabSelected="1" zoomScalePageLayoutView="0" workbookViewId="0" topLeftCell="A1">
      <selection activeCell="A1" sqref="A1:H3405"/>
    </sheetView>
  </sheetViews>
  <sheetFormatPr defaultColWidth="9.140625" defaultRowHeight="15"/>
  <cols>
    <col min="1" max="1" width="17.140625" style="0" customWidth="1"/>
    <col min="2" max="5" width="36.57421875" style="0" bestFit="1" customWidth="1"/>
    <col min="6" max="6" width="27.57421875" style="0" bestFit="1" customWidth="1"/>
    <col min="7" max="7" width="7.00390625" style="0" bestFit="1" customWidth="1"/>
    <col min="8" max="8" width="8.28125" style="0" bestFit="1" customWidth="1"/>
  </cols>
  <sheetData>
    <row r="1" spans="1:8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1.75" customHeight="1">
      <c r="A2" s="1" t="str">
        <f>"001221"</f>
        <v>001221</v>
      </c>
      <c r="B2" s="1" t="s">
        <v>9</v>
      </c>
      <c r="C2" s="1" t="s">
        <v>10</v>
      </c>
      <c r="D2" s="1" t="s">
        <v>11</v>
      </c>
      <c r="E2" s="1"/>
      <c r="F2" s="1" t="s">
        <v>8</v>
      </c>
      <c r="G2" s="1">
        <v>700007</v>
      </c>
      <c r="H2" s="1">
        <v>240000</v>
      </c>
    </row>
    <row r="3" spans="1:8" ht="21.75" customHeight="1">
      <c r="A3" s="1" t="str">
        <f>"1202060001300775"</f>
        <v>1202060001300775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12</v>
      </c>
      <c r="G3" s="1">
        <v>160070</v>
      </c>
      <c r="H3" s="1">
        <v>15</v>
      </c>
    </row>
    <row r="4" spans="1:8" ht="21.75" customHeight="1">
      <c r="A4" s="1" t="str">
        <f>"1208160001308939"</f>
        <v>1208160001308939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17</v>
      </c>
      <c r="G4" s="1">
        <v>388001</v>
      </c>
      <c r="H4" s="1">
        <v>34.5</v>
      </c>
    </row>
    <row r="5" spans="1:8" ht="21.75" customHeight="1">
      <c r="A5" s="1" t="str">
        <f>"1304140001763171"</f>
        <v>1304140001763171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22</v>
      </c>
      <c r="G5" s="1">
        <v>431001</v>
      </c>
      <c r="H5" s="1">
        <v>7.5</v>
      </c>
    </row>
    <row r="6" spans="1:8" ht="21.75" customHeight="1">
      <c r="A6" s="1" t="str">
        <f>"1304140001392505"</f>
        <v>1304140001392505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28</v>
      </c>
      <c r="G6" s="1">
        <v>560076</v>
      </c>
      <c r="H6" s="1">
        <v>3.75</v>
      </c>
    </row>
    <row r="7" spans="1:8" ht="21.75" customHeight="1">
      <c r="A7" s="1" t="str">
        <f>"1202060000811254"</f>
        <v>1202060000811254</v>
      </c>
      <c r="B7" s="1" t="s">
        <v>34</v>
      </c>
      <c r="C7" s="1">
        <v>1068</v>
      </c>
      <c r="D7" s="1" t="s">
        <v>35</v>
      </c>
      <c r="E7" s="1" t="s">
        <v>36</v>
      </c>
      <c r="F7" s="1" t="s">
        <v>33</v>
      </c>
      <c r="G7" s="1">
        <v>641002</v>
      </c>
      <c r="H7" s="1">
        <v>233.5</v>
      </c>
    </row>
    <row r="8" spans="1:8" ht="21.75" customHeight="1">
      <c r="A8" s="1" t="str">
        <f>"1204760000124962"</f>
        <v>1204760000124962</v>
      </c>
      <c r="B8" s="1" t="s">
        <v>38</v>
      </c>
      <c r="C8" s="1" t="s">
        <v>39</v>
      </c>
      <c r="D8" s="1" t="s">
        <v>40</v>
      </c>
      <c r="E8" s="1" t="s">
        <v>41</v>
      </c>
      <c r="F8" s="1" t="s">
        <v>42</v>
      </c>
      <c r="G8" s="1">
        <v>680612</v>
      </c>
      <c r="H8" s="1">
        <v>0.75</v>
      </c>
    </row>
    <row r="9" spans="1:8" ht="21.75" customHeight="1">
      <c r="A9" s="1" t="str">
        <f>"IN30181110086974"</f>
        <v>IN30181110086974</v>
      </c>
      <c r="B9" s="1" t="s">
        <v>43</v>
      </c>
      <c r="C9" s="1" t="s">
        <v>44</v>
      </c>
      <c r="D9" s="1" t="s">
        <v>45</v>
      </c>
      <c r="E9" s="1" t="s">
        <v>46</v>
      </c>
      <c r="F9" s="1"/>
      <c r="G9" s="1">
        <v>680741</v>
      </c>
      <c r="H9" s="1">
        <v>33</v>
      </c>
    </row>
    <row r="10" spans="1:8" ht="21.75" customHeight="1">
      <c r="A10" s="1" t="str">
        <f>"1203350000651705"</f>
        <v>1203350000651705</v>
      </c>
      <c r="B10" s="1" t="s">
        <v>49</v>
      </c>
      <c r="C10" s="1" t="s">
        <v>50</v>
      </c>
      <c r="D10" s="1" t="s">
        <v>51</v>
      </c>
      <c r="E10" s="1"/>
      <c r="F10" s="1" t="s">
        <v>52</v>
      </c>
      <c r="G10" s="1">
        <v>682026</v>
      </c>
      <c r="H10" s="1">
        <v>52.5</v>
      </c>
    </row>
    <row r="11" spans="1:8" ht="21.75" customHeight="1">
      <c r="A11" s="1" t="str">
        <f>"IN30039415790422"</f>
        <v>IN30039415790422</v>
      </c>
      <c r="B11" s="1" t="s">
        <v>55</v>
      </c>
      <c r="C11" s="1">
        <v>578</v>
      </c>
      <c r="D11" s="1" t="s">
        <v>56</v>
      </c>
      <c r="E11" s="1" t="s">
        <v>57</v>
      </c>
      <c r="F11" s="1"/>
      <c r="G11" s="1">
        <v>682504</v>
      </c>
      <c r="H11" s="1">
        <v>3</v>
      </c>
    </row>
    <row r="12" spans="1:8" ht="21.75" customHeight="1">
      <c r="A12" s="1" t="str">
        <f>"IN30023914185851"</f>
        <v>IN30023914185851</v>
      </c>
      <c r="B12" s="1" t="s">
        <v>60</v>
      </c>
      <c r="C12" s="1" t="s">
        <v>61</v>
      </c>
      <c r="D12" s="1" t="s">
        <v>62</v>
      </c>
      <c r="E12" s="1" t="s">
        <v>63</v>
      </c>
      <c r="F12" s="1"/>
      <c r="G12" s="1">
        <v>686578</v>
      </c>
      <c r="H12" s="1">
        <v>750</v>
      </c>
    </row>
    <row r="13" spans="1:8" ht="21.75" customHeight="1">
      <c r="A13" s="1" t="str">
        <f>"IN30177413890850"</f>
        <v>IN30177413890850</v>
      </c>
      <c r="B13" s="1" t="s">
        <v>65</v>
      </c>
      <c r="C13" s="1">
        <v>9</v>
      </c>
      <c r="D13" s="1" t="s">
        <v>66</v>
      </c>
      <c r="E13" s="1" t="s">
        <v>8</v>
      </c>
      <c r="F13" s="1"/>
      <c r="G13" s="1">
        <v>700003</v>
      </c>
      <c r="H13" s="1">
        <v>57</v>
      </c>
    </row>
    <row r="14" spans="1:8" ht="21.75" customHeight="1">
      <c r="A14" s="1" t="str">
        <f>"1203450000005938"</f>
        <v>1203450000005938</v>
      </c>
      <c r="B14" s="1" t="s">
        <v>67</v>
      </c>
      <c r="C14" s="1" t="s">
        <v>68</v>
      </c>
      <c r="D14" s="1" t="s">
        <v>69</v>
      </c>
      <c r="E14" s="1"/>
      <c r="F14" s="1" t="s">
        <v>8</v>
      </c>
      <c r="G14" s="1">
        <v>700055</v>
      </c>
      <c r="H14" s="1">
        <v>135</v>
      </c>
    </row>
    <row r="15" spans="1:8" ht="21.75" customHeight="1">
      <c r="A15" s="1" t="str">
        <f>"IN30051318370145"</f>
        <v>IN30051318370145</v>
      </c>
      <c r="B15" s="1" t="s">
        <v>71</v>
      </c>
      <c r="C15" s="1" t="s">
        <v>72</v>
      </c>
      <c r="D15" s="1" t="s">
        <v>73</v>
      </c>
      <c r="E15" s="1" t="s">
        <v>74</v>
      </c>
      <c r="F15" s="1"/>
      <c r="G15" s="1">
        <v>110027</v>
      </c>
      <c r="H15" s="1">
        <v>9.75</v>
      </c>
    </row>
    <row r="16" spans="1:8" ht="21.75" customHeight="1">
      <c r="A16" s="1" t="str">
        <f>"1204470004529786"</f>
        <v>1204470004529786</v>
      </c>
      <c r="B16" s="1" t="s">
        <v>77</v>
      </c>
      <c r="C16" s="1" t="s">
        <v>78</v>
      </c>
      <c r="D16" s="1" t="s">
        <v>79</v>
      </c>
      <c r="E16" s="1" t="s">
        <v>80</v>
      </c>
      <c r="F16" s="1" t="s">
        <v>76</v>
      </c>
      <c r="G16" s="1">
        <v>110052</v>
      </c>
      <c r="H16" s="1">
        <v>86.25</v>
      </c>
    </row>
    <row r="17" spans="1:8" ht="21.75" customHeight="1">
      <c r="A17" s="1" t="str">
        <f>"IN30307710279489"</f>
        <v>IN30307710279489</v>
      </c>
      <c r="B17" s="1" t="s">
        <v>81</v>
      </c>
      <c r="C17" s="1" t="s">
        <v>82</v>
      </c>
      <c r="D17" s="1" t="s">
        <v>83</v>
      </c>
      <c r="E17" s="1" t="s">
        <v>84</v>
      </c>
      <c r="F17" s="1"/>
      <c r="G17" s="1">
        <v>110067</v>
      </c>
      <c r="H17" s="1">
        <v>0.75</v>
      </c>
    </row>
    <row r="18" spans="1:8" ht="21.75" customHeight="1">
      <c r="A18" s="1" t="str">
        <f>"IN30169612343614"</f>
        <v>IN30169612343614</v>
      </c>
      <c r="B18" s="1" t="s">
        <v>86</v>
      </c>
      <c r="C18" s="1" t="s">
        <v>87</v>
      </c>
      <c r="D18" s="1" t="s">
        <v>88</v>
      </c>
      <c r="E18" s="1" t="s">
        <v>89</v>
      </c>
      <c r="F18" s="1"/>
      <c r="G18" s="1">
        <v>110089</v>
      </c>
      <c r="H18" s="1">
        <v>0.75</v>
      </c>
    </row>
    <row r="19" spans="1:8" ht="21.75" customHeight="1">
      <c r="A19" s="1" t="str">
        <f>"1203230001452511"</f>
        <v>1203230001452511</v>
      </c>
      <c r="B19" s="1" t="s">
        <v>90</v>
      </c>
      <c r="C19" s="1" t="s">
        <v>91</v>
      </c>
      <c r="D19" s="1" t="s">
        <v>92</v>
      </c>
      <c r="E19" s="1" t="s">
        <v>93</v>
      </c>
      <c r="F19" s="1" t="s">
        <v>70</v>
      </c>
      <c r="G19" s="1">
        <v>110092</v>
      </c>
      <c r="H19" s="1">
        <v>30</v>
      </c>
    </row>
    <row r="20" spans="1:8" ht="21.75" customHeight="1">
      <c r="A20" s="1" t="str">
        <f>"IN30115127998777"</f>
        <v>IN30115127998777</v>
      </c>
      <c r="B20" s="1" t="s">
        <v>94</v>
      </c>
      <c r="C20" s="1" t="s">
        <v>95</v>
      </c>
      <c r="D20" s="1" t="s">
        <v>96</v>
      </c>
      <c r="E20" s="1" t="s">
        <v>97</v>
      </c>
      <c r="F20" s="1"/>
      <c r="G20" s="1">
        <v>110092</v>
      </c>
      <c r="H20" s="1">
        <v>52.5</v>
      </c>
    </row>
    <row r="21" spans="1:8" ht="21.75" customHeight="1">
      <c r="A21" s="1" t="str">
        <f>"1208160000404165"</f>
        <v>1208160000404165</v>
      </c>
      <c r="B21" s="1" t="s">
        <v>98</v>
      </c>
      <c r="C21" s="1" t="s">
        <v>99</v>
      </c>
      <c r="D21" s="1" t="s">
        <v>76</v>
      </c>
      <c r="E21" s="1"/>
      <c r="F21" s="1" t="s">
        <v>70</v>
      </c>
      <c r="G21" s="1">
        <v>110094</v>
      </c>
      <c r="H21" s="1">
        <v>0.75</v>
      </c>
    </row>
    <row r="22" spans="1:8" ht="21.75" customHeight="1">
      <c r="A22" s="1" t="str">
        <f>"1301240001802911"</f>
        <v>1301240001802911</v>
      </c>
      <c r="B22" s="1" t="s">
        <v>100</v>
      </c>
      <c r="C22" s="1" t="s">
        <v>101</v>
      </c>
      <c r="D22" s="1" t="s">
        <v>102</v>
      </c>
      <c r="E22" s="1" t="s">
        <v>103</v>
      </c>
      <c r="F22" s="1" t="s">
        <v>70</v>
      </c>
      <c r="G22" s="1">
        <v>110096</v>
      </c>
      <c r="H22" s="1">
        <v>7.5</v>
      </c>
    </row>
    <row r="23" spans="1:8" ht="21.75" customHeight="1">
      <c r="A23" s="1" t="str">
        <f>"1208180024440701"</f>
        <v>1208180024440701</v>
      </c>
      <c r="B23" s="1" t="s">
        <v>105</v>
      </c>
      <c r="C23" s="1" t="s">
        <v>106</v>
      </c>
      <c r="D23" s="1" t="s">
        <v>107</v>
      </c>
      <c r="E23" s="1"/>
      <c r="F23" s="1" t="s">
        <v>108</v>
      </c>
      <c r="G23" s="1">
        <v>125033</v>
      </c>
      <c r="H23" s="1">
        <v>140.25</v>
      </c>
    </row>
    <row r="24" spans="1:8" ht="21.75" customHeight="1">
      <c r="A24" s="1" t="str">
        <f>"1301240005090951"</f>
        <v>1301240005090951</v>
      </c>
      <c r="B24" s="1" t="s">
        <v>111</v>
      </c>
      <c r="C24" s="1" t="s">
        <v>112</v>
      </c>
      <c r="D24" s="1" t="s">
        <v>113</v>
      </c>
      <c r="E24" s="1" t="s">
        <v>114</v>
      </c>
      <c r="F24" s="1" t="s">
        <v>110</v>
      </c>
      <c r="G24" s="1">
        <v>134115</v>
      </c>
      <c r="H24" s="1">
        <v>7.5</v>
      </c>
    </row>
    <row r="25" spans="1:8" ht="21.75" customHeight="1">
      <c r="A25" s="1" t="str">
        <f>"IN30307710203168"</f>
        <v>IN30307710203168</v>
      </c>
      <c r="B25" s="1" t="s">
        <v>116</v>
      </c>
      <c r="C25" s="1" t="s">
        <v>117</v>
      </c>
      <c r="D25" s="1" t="s">
        <v>118</v>
      </c>
      <c r="E25" s="1" t="s">
        <v>119</v>
      </c>
      <c r="F25" s="1"/>
      <c r="G25" s="1">
        <v>143001</v>
      </c>
      <c r="H25" s="1">
        <v>60</v>
      </c>
    </row>
    <row r="26" spans="1:8" ht="21.75" customHeight="1">
      <c r="A26" s="1" t="str">
        <f>"IN30114311026217"</f>
        <v>IN30114311026217</v>
      </c>
      <c r="B26" s="1" t="s">
        <v>120</v>
      </c>
      <c r="C26" s="1" t="s">
        <v>121</v>
      </c>
      <c r="D26" s="1" t="s">
        <v>122</v>
      </c>
      <c r="E26" s="1" t="s">
        <v>123</v>
      </c>
      <c r="F26" s="1"/>
      <c r="G26" s="1">
        <v>151001</v>
      </c>
      <c r="H26" s="1">
        <v>37.5</v>
      </c>
    </row>
    <row r="27" spans="1:8" ht="21.75" customHeight="1">
      <c r="A27" s="1" t="str">
        <f>"IN30236511361456"</f>
        <v>IN30236511361456</v>
      </c>
      <c r="B27" s="1" t="s">
        <v>125</v>
      </c>
      <c r="C27" s="1" t="s">
        <v>126</v>
      </c>
      <c r="D27" s="1" t="s">
        <v>127</v>
      </c>
      <c r="E27" s="1" t="s">
        <v>128</v>
      </c>
      <c r="F27" s="1"/>
      <c r="G27" s="1">
        <v>201002</v>
      </c>
      <c r="H27" s="1">
        <v>7.5</v>
      </c>
    </row>
    <row r="28" spans="1:8" ht="21.75" customHeight="1">
      <c r="A28" s="1" t="str">
        <f>"1208160013041380"</f>
        <v>1208160013041380</v>
      </c>
      <c r="B28" s="1" t="s">
        <v>131</v>
      </c>
      <c r="C28" s="1" t="s">
        <v>132</v>
      </c>
      <c r="D28" s="1" t="s">
        <v>133</v>
      </c>
      <c r="E28" s="1"/>
      <c r="F28" s="1" t="s">
        <v>130</v>
      </c>
      <c r="G28" s="1">
        <v>226002</v>
      </c>
      <c r="H28" s="1">
        <v>26.25</v>
      </c>
    </row>
    <row r="29" spans="1:8" ht="21.75" customHeight="1">
      <c r="A29" s="1" t="str">
        <f>"1207040000026445"</f>
        <v>1207040000026445</v>
      </c>
      <c r="B29" s="1" t="s">
        <v>135</v>
      </c>
      <c r="C29" s="1" t="s">
        <v>136</v>
      </c>
      <c r="D29" s="1" t="s">
        <v>137</v>
      </c>
      <c r="E29" s="1"/>
      <c r="F29" s="1" t="s">
        <v>134</v>
      </c>
      <c r="G29" s="1">
        <v>244001</v>
      </c>
      <c r="H29" s="1">
        <v>15</v>
      </c>
    </row>
    <row r="30" spans="1:8" ht="21.75" customHeight="1">
      <c r="A30" s="1" t="str">
        <f>"1204470000564010"</f>
        <v>1204470000564010</v>
      </c>
      <c r="B30" s="1" t="s">
        <v>138</v>
      </c>
      <c r="C30" s="1">
        <v>2378</v>
      </c>
      <c r="D30" s="1" t="s">
        <v>139</v>
      </c>
      <c r="E30" s="1" t="s">
        <v>140</v>
      </c>
      <c r="F30" s="1" t="s">
        <v>140</v>
      </c>
      <c r="G30" s="1">
        <v>245101</v>
      </c>
      <c r="H30" s="1">
        <v>27</v>
      </c>
    </row>
    <row r="31" spans="1:8" ht="21.75" customHeight="1">
      <c r="A31" s="1" t="str">
        <f>"1208360000405651"</f>
        <v>1208360000405651</v>
      </c>
      <c r="B31" s="1" t="s">
        <v>142</v>
      </c>
      <c r="C31" s="1" t="s">
        <v>143</v>
      </c>
      <c r="D31" s="1" t="s">
        <v>144</v>
      </c>
      <c r="E31" s="1" t="s">
        <v>141</v>
      </c>
      <c r="F31" s="1" t="s">
        <v>141</v>
      </c>
      <c r="G31" s="1">
        <v>273012</v>
      </c>
      <c r="H31" s="1">
        <v>3.75</v>
      </c>
    </row>
    <row r="32" spans="1:8" ht="21.75" customHeight="1">
      <c r="A32" s="1" t="str">
        <f>"1202990005913944"</f>
        <v>1202990005913944</v>
      </c>
      <c r="B32" s="1" t="s">
        <v>146</v>
      </c>
      <c r="C32" s="1" t="s">
        <v>147</v>
      </c>
      <c r="D32" s="1" t="s">
        <v>148</v>
      </c>
      <c r="E32" s="1"/>
      <c r="F32" s="1" t="s">
        <v>149</v>
      </c>
      <c r="G32" s="1">
        <v>274288</v>
      </c>
      <c r="H32" s="1">
        <v>18.75</v>
      </c>
    </row>
    <row r="33" spans="1:8" ht="21.75" customHeight="1">
      <c r="A33" s="1" t="str">
        <f>"IN30154936077171"</f>
        <v>IN30154936077171</v>
      </c>
      <c r="B33" s="1" t="s">
        <v>151</v>
      </c>
      <c r="C33" s="1" t="s">
        <v>152</v>
      </c>
      <c r="D33" s="1" t="s">
        <v>153</v>
      </c>
      <c r="E33" s="1" t="s">
        <v>154</v>
      </c>
      <c r="F33" s="1"/>
      <c r="G33" s="1">
        <v>313326</v>
      </c>
      <c r="H33" s="1">
        <v>135</v>
      </c>
    </row>
    <row r="34" spans="1:8" ht="21.75" customHeight="1">
      <c r="A34" s="1" t="str">
        <f>"1304140001516619"</f>
        <v>1304140001516619</v>
      </c>
      <c r="B34" s="1" t="s">
        <v>156</v>
      </c>
      <c r="C34" s="1" t="s">
        <v>157</v>
      </c>
      <c r="D34" s="1" t="s">
        <v>158</v>
      </c>
      <c r="E34" s="1" t="s">
        <v>159</v>
      </c>
      <c r="F34" s="1" t="s">
        <v>155</v>
      </c>
      <c r="G34" s="1">
        <v>324009</v>
      </c>
      <c r="H34" s="1">
        <v>18.75</v>
      </c>
    </row>
    <row r="35" spans="1:8" ht="21.75" customHeight="1">
      <c r="A35" s="1" t="str">
        <f>"1206740000421451"</f>
        <v>1206740000421451</v>
      </c>
      <c r="B35" s="1" t="s">
        <v>161</v>
      </c>
      <c r="C35" s="1" t="s">
        <v>162</v>
      </c>
      <c r="D35" s="1" t="s">
        <v>163</v>
      </c>
      <c r="E35" s="1" t="s">
        <v>164</v>
      </c>
      <c r="F35" s="1" t="s">
        <v>160</v>
      </c>
      <c r="G35" s="1">
        <v>364001</v>
      </c>
      <c r="H35" s="1">
        <v>112.5</v>
      </c>
    </row>
    <row r="36" spans="1:8" ht="21.75" customHeight="1">
      <c r="A36" s="1" t="str">
        <f>"IN30051385676265"</f>
        <v>IN30051385676265</v>
      </c>
      <c r="B36" s="1" t="s">
        <v>165</v>
      </c>
      <c r="C36" s="1" t="s">
        <v>166</v>
      </c>
      <c r="D36" s="1"/>
      <c r="E36" s="1" t="s">
        <v>167</v>
      </c>
      <c r="F36" s="1"/>
      <c r="G36" s="1">
        <v>384130</v>
      </c>
      <c r="H36" s="1">
        <v>149.25</v>
      </c>
    </row>
    <row r="37" spans="1:8" ht="21.75" customHeight="1">
      <c r="A37" s="1" t="str">
        <f>"1201130000759566"</f>
        <v>1201130000759566</v>
      </c>
      <c r="B37" s="1" t="s">
        <v>168</v>
      </c>
      <c r="C37" s="1" t="s">
        <v>169</v>
      </c>
      <c r="D37" s="1" t="s">
        <v>170</v>
      </c>
      <c r="E37" s="1"/>
      <c r="F37" s="1" t="s">
        <v>171</v>
      </c>
      <c r="G37" s="1">
        <v>388540</v>
      </c>
      <c r="H37" s="1">
        <v>75</v>
      </c>
    </row>
    <row r="38" spans="1:8" ht="21.75" customHeight="1">
      <c r="A38" s="1" t="str">
        <f>"1203320008366289"</f>
        <v>1203320008366289</v>
      </c>
      <c r="B38" s="1" t="s">
        <v>173</v>
      </c>
      <c r="C38" s="1" t="s">
        <v>174</v>
      </c>
      <c r="D38" s="1" t="s">
        <v>175</v>
      </c>
      <c r="E38" s="1" t="s">
        <v>176</v>
      </c>
      <c r="F38" s="1" t="s">
        <v>177</v>
      </c>
      <c r="G38" s="1">
        <v>396195</v>
      </c>
      <c r="H38" s="1">
        <v>11.25</v>
      </c>
    </row>
    <row r="39" spans="1:8" ht="21.75" customHeight="1">
      <c r="A39" s="1" t="str">
        <f>"IN30154918584005"</f>
        <v>IN30154918584005</v>
      </c>
      <c r="B39" s="1" t="s">
        <v>179</v>
      </c>
      <c r="C39" s="1" t="s">
        <v>180</v>
      </c>
      <c r="D39" s="1" t="s">
        <v>181</v>
      </c>
      <c r="E39" s="1" t="s">
        <v>182</v>
      </c>
      <c r="F39" s="1"/>
      <c r="G39" s="1">
        <v>400012</v>
      </c>
      <c r="H39" s="1">
        <v>15</v>
      </c>
    </row>
    <row r="40" spans="1:8" ht="21.75" customHeight="1">
      <c r="A40" s="1" t="str">
        <f>"IN30115121937348"</f>
        <v>IN30115121937348</v>
      </c>
      <c r="B40" s="1" t="s">
        <v>183</v>
      </c>
      <c r="C40" s="1" t="s">
        <v>184</v>
      </c>
      <c r="D40" s="1" t="s">
        <v>185</v>
      </c>
      <c r="E40" s="1" t="s">
        <v>186</v>
      </c>
      <c r="F40" s="1"/>
      <c r="G40" s="1">
        <v>400012</v>
      </c>
      <c r="H40" s="1">
        <v>15</v>
      </c>
    </row>
    <row r="41" spans="1:8" ht="21.75" customHeight="1">
      <c r="A41" s="1" t="str">
        <f>"IN30154952000107"</f>
        <v>IN30154952000107</v>
      </c>
      <c r="B41" s="1" t="s">
        <v>187</v>
      </c>
      <c r="C41" s="1" t="s">
        <v>188</v>
      </c>
      <c r="D41" s="1" t="s">
        <v>189</v>
      </c>
      <c r="E41" s="1" t="s">
        <v>190</v>
      </c>
      <c r="F41" s="1"/>
      <c r="G41" s="1">
        <v>400050</v>
      </c>
      <c r="H41" s="1">
        <v>1417</v>
      </c>
    </row>
    <row r="42" spans="1:8" ht="21.75" customHeight="1">
      <c r="A42" s="1" t="str">
        <f>"IN30154917163587"</f>
        <v>IN30154917163587</v>
      </c>
      <c r="B42" s="1" t="s">
        <v>191</v>
      </c>
      <c r="C42" s="1" t="s">
        <v>192</v>
      </c>
      <c r="D42" s="1" t="s">
        <v>193</v>
      </c>
      <c r="E42" s="1" t="s">
        <v>194</v>
      </c>
      <c r="F42" s="1"/>
      <c r="G42" s="1">
        <v>400053</v>
      </c>
      <c r="H42" s="1">
        <v>450</v>
      </c>
    </row>
    <row r="43" spans="1:8" ht="21.75" customHeight="1">
      <c r="A43" s="1" t="str">
        <f>"IN30160410408137"</f>
        <v>IN30160410408137</v>
      </c>
      <c r="B43" s="1" t="s">
        <v>195</v>
      </c>
      <c r="C43" s="1" t="s">
        <v>196</v>
      </c>
      <c r="D43" s="1" t="s">
        <v>197</v>
      </c>
      <c r="E43" s="1" t="s">
        <v>198</v>
      </c>
      <c r="F43" s="1"/>
      <c r="G43" s="1">
        <v>400054</v>
      </c>
      <c r="H43" s="1">
        <v>7.5</v>
      </c>
    </row>
    <row r="44" spans="1:8" ht="21.75" customHeight="1">
      <c r="A44" s="1" t="str">
        <f>"1204470002911467"</f>
        <v>1204470002911467</v>
      </c>
      <c r="B44" s="1" t="s">
        <v>199</v>
      </c>
      <c r="C44" s="1" t="s">
        <v>200</v>
      </c>
      <c r="D44" s="1" t="s">
        <v>201</v>
      </c>
      <c r="E44" s="1" t="s">
        <v>202</v>
      </c>
      <c r="F44" s="1" t="s">
        <v>178</v>
      </c>
      <c r="G44" s="1">
        <v>400066</v>
      </c>
      <c r="H44" s="1">
        <v>7.5</v>
      </c>
    </row>
    <row r="45" spans="1:8" ht="21.75" customHeight="1">
      <c r="A45" s="1" t="str">
        <f>"1203320049942611"</f>
        <v>1203320049942611</v>
      </c>
      <c r="B45" s="1" t="s">
        <v>203</v>
      </c>
      <c r="C45" s="1" t="s">
        <v>204</v>
      </c>
      <c r="D45" s="1" t="s">
        <v>205</v>
      </c>
      <c r="E45" s="1" t="s">
        <v>206</v>
      </c>
      <c r="F45" s="1" t="s">
        <v>178</v>
      </c>
      <c r="G45" s="1">
        <v>400066</v>
      </c>
      <c r="H45" s="1">
        <v>7.5</v>
      </c>
    </row>
    <row r="46" spans="1:8" ht="21.75" customHeight="1">
      <c r="A46" s="1" t="str">
        <f>"1208160036642645"</f>
        <v>1208160036642645</v>
      </c>
      <c r="B46" s="1" t="s">
        <v>207</v>
      </c>
      <c r="C46" s="1" t="s">
        <v>208</v>
      </c>
      <c r="D46" s="1" t="s">
        <v>209</v>
      </c>
      <c r="E46" s="1"/>
      <c r="F46" s="1" t="s">
        <v>178</v>
      </c>
      <c r="G46" s="1">
        <v>400078</v>
      </c>
      <c r="H46" s="1">
        <v>7.5</v>
      </c>
    </row>
    <row r="47" spans="1:8" ht="21.75" customHeight="1">
      <c r="A47" s="1" t="str">
        <f>"1203600001345065"</f>
        <v>1203600001345065</v>
      </c>
      <c r="B47" s="1" t="s">
        <v>210</v>
      </c>
      <c r="C47" s="1" t="s">
        <v>211</v>
      </c>
      <c r="D47" s="1" t="s">
        <v>212</v>
      </c>
      <c r="E47" s="1" t="s">
        <v>213</v>
      </c>
      <c r="F47" s="1" t="s">
        <v>178</v>
      </c>
      <c r="G47" s="1">
        <v>400079</v>
      </c>
      <c r="H47" s="1">
        <v>22.5</v>
      </c>
    </row>
    <row r="48" spans="1:8" ht="21.75" customHeight="1">
      <c r="A48" s="1" t="str">
        <f>"1208870023090468"</f>
        <v>1208870023090468</v>
      </c>
      <c r="B48" s="1" t="s">
        <v>214</v>
      </c>
      <c r="C48" s="1" t="s">
        <v>215</v>
      </c>
      <c r="D48" s="1" t="s">
        <v>216</v>
      </c>
      <c r="E48" s="1" t="s">
        <v>217</v>
      </c>
      <c r="F48" s="1" t="s">
        <v>178</v>
      </c>
      <c r="G48" s="1">
        <v>400080</v>
      </c>
      <c r="H48" s="1">
        <v>0.75</v>
      </c>
    </row>
    <row r="49" spans="1:8" ht="21.75" customHeight="1">
      <c r="A49" s="1" t="str">
        <f>"IN30051319352813"</f>
        <v>IN30051319352813</v>
      </c>
      <c r="B49" s="1" t="s">
        <v>218</v>
      </c>
      <c r="C49" s="1" t="s">
        <v>219</v>
      </c>
      <c r="D49" s="1" t="s">
        <v>220</v>
      </c>
      <c r="E49" s="1" t="s">
        <v>221</v>
      </c>
      <c r="F49" s="1"/>
      <c r="G49" s="1">
        <v>400092</v>
      </c>
      <c r="H49" s="1">
        <v>26.25</v>
      </c>
    </row>
    <row r="50" spans="1:8" ht="21.75" customHeight="1">
      <c r="A50" s="1" t="str">
        <f>"IN30154916351162"</f>
        <v>IN30154916351162</v>
      </c>
      <c r="B50" s="1" t="s">
        <v>223</v>
      </c>
      <c r="C50" s="1" t="s">
        <v>224</v>
      </c>
      <c r="D50" s="1" t="s">
        <v>225</v>
      </c>
      <c r="E50" s="1" t="s">
        <v>226</v>
      </c>
      <c r="F50" s="1"/>
      <c r="G50" s="1">
        <v>401202</v>
      </c>
      <c r="H50" s="1">
        <v>375</v>
      </c>
    </row>
    <row r="51" spans="1:8" ht="21.75" customHeight="1">
      <c r="A51" s="1" t="str">
        <f>"IN30051319504604"</f>
        <v>IN30051319504604</v>
      </c>
      <c r="B51" s="1" t="s">
        <v>227</v>
      </c>
      <c r="C51" s="1" t="s">
        <v>228</v>
      </c>
      <c r="D51" s="1" t="s">
        <v>229</v>
      </c>
      <c r="E51" s="1" t="s">
        <v>230</v>
      </c>
      <c r="F51" s="1"/>
      <c r="G51" s="1">
        <v>410210</v>
      </c>
      <c r="H51" s="1">
        <v>63.75</v>
      </c>
    </row>
    <row r="52" spans="1:8" ht="21.75" customHeight="1">
      <c r="A52" s="1" t="str">
        <f>"1202990002337180"</f>
        <v>1202990002337180</v>
      </c>
      <c r="B52" s="1" t="s">
        <v>232</v>
      </c>
      <c r="C52" s="1" t="s">
        <v>233</v>
      </c>
      <c r="D52" s="1" t="s">
        <v>234</v>
      </c>
      <c r="E52" s="1"/>
      <c r="F52" s="1" t="s">
        <v>231</v>
      </c>
      <c r="G52" s="1">
        <v>411014</v>
      </c>
      <c r="H52" s="1">
        <v>12</v>
      </c>
    </row>
    <row r="53" spans="1:8" ht="21.75" customHeight="1">
      <c r="A53" s="1" t="str">
        <f>"1203600001046581"</f>
        <v>1203600001046581</v>
      </c>
      <c r="B53" s="1" t="s">
        <v>235</v>
      </c>
      <c r="C53" s="1" t="s">
        <v>236</v>
      </c>
      <c r="D53" s="1" t="s">
        <v>237</v>
      </c>
      <c r="E53" s="1" t="s">
        <v>238</v>
      </c>
      <c r="F53" s="1" t="s">
        <v>231</v>
      </c>
      <c r="G53" s="1">
        <v>411027</v>
      </c>
      <c r="H53" s="1">
        <v>16.5</v>
      </c>
    </row>
    <row r="54" spans="1:8" ht="21.75" customHeight="1">
      <c r="A54" s="1" t="str">
        <f>"IN30007910225175"</f>
        <v>IN30007910225175</v>
      </c>
      <c r="B54" s="1" t="s">
        <v>239</v>
      </c>
      <c r="C54" s="1" t="s">
        <v>240</v>
      </c>
      <c r="D54" s="1" t="s">
        <v>241</v>
      </c>
      <c r="E54" s="1" t="s">
        <v>242</v>
      </c>
      <c r="F54" s="1"/>
      <c r="G54" s="1">
        <v>411038</v>
      </c>
      <c r="H54" s="1">
        <v>375</v>
      </c>
    </row>
    <row r="55" spans="1:8" ht="21.75" customHeight="1">
      <c r="A55" s="1" t="str">
        <f>"IN30115124459420"</f>
        <v>IN30115124459420</v>
      </c>
      <c r="B55" s="1" t="s">
        <v>243</v>
      </c>
      <c r="C55" s="1" t="s">
        <v>244</v>
      </c>
      <c r="D55" s="1" t="s">
        <v>245</v>
      </c>
      <c r="E55" s="1" t="s">
        <v>231</v>
      </c>
      <c r="F55" s="1"/>
      <c r="G55" s="1">
        <v>411044</v>
      </c>
      <c r="H55" s="1">
        <v>52.5</v>
      </c>
    </row>
    <row r="56" spans="1:8" ht="21.75" customHeight="1">
      <c r="A56" s="1" t="str">
        <f>"1204470004243027"</f>
        <v>1204470004243027</v>
      </c>
      <c r="B56" s="1" t="s">
        <v>246</v>
      </c>
      <c r="C56" s="1" t="s">
        <v>247</v>
      </c>
      <c r="D56" s="1" t="s">
        <v>248</v>
      </c>
      <c r="E56" s="1"/>
      <c r="F56" s="1" t="s">
        <v>178</v>
      </c>
      <c r="G56" s="1">
        <v>421004</v>
      </c>
      <c r="H56" s="1">
        <v>3.75</v>
      </c>
    </row>
    <row r="57" spans="1:8" ht="21.75" customHeight="1">
      <c r="A57" s="1" t="str">
        <f>"1202700000150231"</f>
        <v>1202700000150231</v>
      </c>
      <c r="B57" s="1" t="s">
        <v>250</v>
      </c>
      <c r="C57" s="1" t="s">
        <v>251</v>
      </c>
      <c r="D57" s="1" t="s">
        <v>252</v>
      </c>
      <c r="E57" s="1"/>
      <c r="F57" s="1" t="s">
        <v>253</v>
      </c>
      <c r="G57" s="1">
        <v>425401</v>
      </c>
      <c r="H57" s="1">
        <v>7.5</v>
      </c>
    </row>
    <row r="58" spans="1:8" ht="21.75" customHeight="1">
      <c r="A58" s="1" t="str">
        <f>"1203320010960281"</f>
        <v>1203320010960281</v>
      </c>
      <c r="B58" s="1" t="s">
        <v>254</v>
      </c>
      <c r="C58" s="1" t="s">
        <v>255</v>
      </c>
      <c r="D58" s="1" t="s">
        <v>256</v>
      </c>
      <c r="E58" s="1" t="s">
        <v>257</v>
      </c>
      <c r="F58" s="1" t="s">
        <v>27</v>
      </c>
      <c r="G58" s="1">
        <v>431206</v>
      </c>
      <c r="H58" s="1">
        <v>18.75</v>
      </c>
    </row>
    <row r="59" spans="1:8" ht="21.75" customHeight="1">
      <c r="A59" s="1" t="str">
        <f>"1203600002820838"</f>
        <v>1203600002820838</v>
      </c>
      <c r="B59" s="1" t="s">
        <v>259</v>
      </c>
      <c r="C59" s="1" t="s">
        <v>260</v>
      </c>
      <c r="D59" s="1"/>
      <c r="E59" s="1"/>
      <c r="F59" s="1" t="s">
        <v>258</v>
      </c>
      <c r="G59" s="1">
        <v>431720</v>
      </c>
      <c r="H59" s="1">
        <v>1.5</v>
      </c>
    </row>
    <row r="60" spans="1:8" ht="21.75" customHeight="1">
      <c r="A60" s="1" t="str">
        <f>"1203600004222636"</f>
        <v>1203600004222636</v>
      </c>
      <c r="B60" s="1" t="s">
        <v>262</v>
      </c>
      <c r="C60" s="1" t="s">
        <v>263</v>
      </c>
      <c r="D60" s="1" t="s">
        <v>264</v>
      </c>
      <c r="E60" s="1" t="s">
        <v>265</v>
      </c>
      <c r="F60" s="1" t="s">
        <v>261</v>
      </c>
      <c r="G60" s="1">
        <v>440001</v>
      </c>
      <c r="H60" s="1">
        <v>150</v>
      </c>
    </row>
    <row r="61" spans="1:8" ht="21.75" customHeight="1">
      <c r="A61" s="1" t="str">
        <f>"1201330000379761"</f>
        <v>1201330000379761</v>
      </c>
      <c r="B61" s="1" t="s">
        <v>267</v>
      </c>
      <c r="C61" s="1" t="s">
        <v>268</v>
      </c>
      <c r="D61" s="1" t="s">
        <v>266</v>
      </c>
      <c r="E61" s="1" t="s">
        <v>269</v>
      </c>
      <c r="F61" s="1" t="s">
        <v>266</v>
      </c>
      <c r="G61" s="1">
        <v>456010</v>
      </c>
      <c r="H61" s="1">
        <v>0.75</v>
      </c>
    </row>
    <row r="62" spans="1:8" ht="21.75" customHeight="1">
      <c r="A62" s="1" t="str">
        <f>"IN30023914805457"</f>
        <v>IN30023914805457</v>
      </c>
      <c r="B62" s="1" t="s">
        <v>271</v>
      </c>
      <c r="C62" s="1" t="s">
        <v>272</v>
      </c>
      <c r="D62" s="1" t="s">
        <v>273</v>
      </c>
      <c r="E62" s="1" t="s">
        <v>274</v>
      </c>
      <c r="F62" s="1"/>
      <c r="G62" s="1">
        <v>486001</v>
      </c>
      <c r="H62" s="1">
        <v>3.75</v>
      </c>
    </row>
    <row r="63" spans="1:8" ht="21.75" customHeight="1">
      <c r="A63" s="1" t="str">
        <f>"1208320000072330"</f>
        <v>1208320000072330</v>
      </c>
      <c r="B63" s="1" t="s">
        <v>276</v>
      </c>
      <c r="C63" s="1" t="s">
        <v>277</v>
      </c>
      <c r="D63" s="1" t="s">
        <v>278</v>
      </c>
      <c r="E63" s="1" t="s">
        <v>279</v>
      </c>
      <c r="F63" s="1" t="s">
        <v>275</v>
      </c>
      <c r="G63" s="1">
        <v>490001</v>
      </c>
      <c r="H63" s="1">
        <v>178</v>
      </c>
    </row>
    <row r="64" spans="1:8" ht="21.75" customHeight="1">
      <c r="A64" s="1" t="str">
        <f>"1208180000277931"</f>
        <v>1208180000277931</v>
      </c>
      <c r="B64" s="1" t="s">
        <v>282</v>
      </c>
      <c r="C64" s="1" t="s">
        <v>283</v>
      </c>
      <c r="D64" s="1" t="s">
        <v>284</v>
      </c>
      <c r="E64" s="1" t="s">
        <v>285</v>
      </c>
      <c r="F64" s="1" t="s">
        <v>281</v>
      </c>
      <c r="G64" s="1">
        <v>500003</v>
      </c>
      <c r="H64" s="1">
        <v>22.5</v>
      </c>
    </row>
    <row r="65" spans="1:8" ht="21.75" customHeight="1">
      <c r="A65" s="1" t="str">
        <f>"IN30115120605806"</f>
        <v>IN30115120605806</v>
      </c>
      <c r="B65" s="1" t="s">
        <v>286</v>
      </c>
      <c r="C65" s="1" t="s">
        <v>287</v>
      </c>
      <c r="D65" s="1" t="s">
        <v>288</v>
      </c>
      <c r="E65" s="1" t="s">
        <v>289</v>
      </c>
      <c r="F65" s="1"/>
      <c r="G65" s="1">
        <v>500011</v>
      </c>
      <c r="H65" s="1">
        <v>3.75</v>
      </c>
    </row>
    <row r="66" spans="1:8" ht="21.75" customHeight="1">
      <c r="A66" s="1" t="str">
        <f>"IN30051381477073"</f>
        <v>IN30051381477073</v>
      </c>
      <c r="B66" s="1" t="s">
        <v>290</v>
      </c>
      <c r="C66" s="1" t="s">
        <v>291</v>
      </c>
      <c r="D66" s="1" t="s">
        <v>292</v>
      </c>
      <c r="E66" s="1" t="s">
        <v>293</v>
      </c>
      <c r="F66" s="1"/>
      <c r="G66" s="1">
        <v>500020</v>
      </c>
      <c r="H66" s="1">
        <v>93.75</v>
      </c>
    </row>
    <row r="67" spans="1:8" ht="21.75" customHeight="1">
      <c r="A67" s="1" t="str">
        <f>"1204470003057765"</f>
        <v>1204470003057765</v>
      </c>
      <c r="B67" s="1" t="s">
        <v>294</v>
      </c>
      <c r="C67" s="1" t="s">
        <v>295</v>
      </c>
      <c r="D67" s="1" t="s">
        <v>296</v>
      </c>
      <c r="E67" s="1" t="s">
        <v>297</v>
      </c>
      <c r="F67" s="1" t="s">
        <v>281</v>
      </c>
      <c r="G67" s="1">
        <v>500035</v>
      </c>
      <c r="H67" s="1">
        <v>0.75</v>
      </c>
    </row>
    <row r="68" spans="1:8" ht="21.75" customHeight="1">
      <c r="A68" s="1" t="str">
        <f>"1208870012377601"</f>
        <v>1208870012377601</v>
      </c>
      <c r="B68" s="1" t="s">
        <v>298</v>
      </c>
      <c r="C68" s="1" t="s">
        <v>299</v>
      </c>
      <c r="D68" s="1" t="s">
        <v>300</v>
      </c>
      <c r="E68" s="1" t="s">
        <v>301</v>
      </c>
      <c r="F68" s="1" t="s">
        <v>281</v>
      </c>
      <c r="G68" s="1">
        <v>500053</v>
      </c>
      <c r="H68" s="1">
        <v>37.5</v>
      </c>
    </row>
    <row r="69" spans="1:8" ht="21.75" customHeight="1">
      <c r="A69" s="1" t="str">
        <f>"IN30023913461482"</f>
        <v>IN30023913461482</v>
      </c>
      <c r="B69" s="1" t="s">
        <v>303</v>
      </c>
      <c r="C69" s="1" t="s">
        <v>304</v>
      </c>
      <c r="D69" s="1" t="s">
        <v>305</v>
      </c>
      <c r="E69" s="1" t="s">
        <v>306</v>
      </c>
      <c r="F69" s="1"/>
      <c r="G69" s="1">
        <v>503003</v>
      </c>
      <c r="H69" s="1">
        <v>75</v>
      </c>
    </row>
    <row r="70" spans="1:8" ht="21.75" customHeight="1">
      <c r="A70" s="1" t="str">
        <f>"1202770000167101"</f>
        <v>1202770000167101</v>
      </c>
      <c r="B70" s="1" t="s">
        <v>309</v>
      </c>
      <c r="C70" s="1" t="s">
        <v>310</v>
      </c>
      <c r="D70" s="1" t="s">
        <v>311</v>
      </c>
      <c r="E70" s="1" t="s">
        <v>312</v>
      </c>
      <c r="F70" s="1" t="s">
        <v>313</v>
      </c>
      <c r="G70" s="1">
        <v>504208</v>
      </c>
      <c r="H70" s="1">
        <v>44.25</v>
      </c>
    </row>
    <row r="71" spans="1:8" ht="21.75" customHeight="1">
      <c r="A71" s="1" t="str">
        <f>"IN30051384631027"</f>
        <v>IN30051384631027</v>
      </c>
      <c r="B71" s="1" t="s">
        <v>315</v>
      </c>
      <c r="C71" s="1" t="s">
        <v>316</v>
      </c>
      <c r="D71" s="1" t="s">
        <v>314</v>
      </c>
      <c r="E71" s="1" t="s">
        <v>317</v>
      </c>
      <c r="F71" s="1"/>
      <c r="G71" s="1">
        <v>505468</v>
      </c>
      <c r="H71" s="1">
        <v>0.75</v>
      </c>
    </row>
    <row r="72" spans="1:8" ht="21.75" customHeight="1">
      <c r="A72" s="1" t="str">
        <f>"IN30021412690454"</f>
        <v>IN30021412690454</v>
      </c>
      <c r="B72" s="1" t="s">
        <v>318</v>
      </c>
      <c r="C72" s="1" t="s">
        <v>319</v>
      </c>
      <c r="D72" s="1" t="s">
        <v>320</v>
      </c>
      <c r="E72" s="1" t="s">
        <v>321</v>
      </c>
      <c r="F72" s="1"/>
      <c r="G72" s="1">
        <v>560016</v>
      </c>
      <c r="H72" s="1">
        <v>750</v>
      </c>
    </row>
    <row r="73" spans="1:8" ht="21.75" customHeight="1">
      <c r="A73" s="1" t="str">
        <f>"IN30371910996187"</f>
        <v>IN30371910996187</v>
      </c>
      <c r="B73" s="1" t="s">
        <v>322</v>
      </c>
      <c r="C73" s="1" t="s">
        <v>323</v>
      </c>
      <c r="D73" s="1" t="s">
        <v>324</v>
      </c>
      <c r="E73" s="1" t="s">
        <v>325</v>
      </c>
      <c r="F73" s="1"/>
      <c r="G73" s="1">
        <v>560020</v>
      </c>
      <c r="H73" s="1">
        <v>1.5</v>
      </c>
    </row>
    <row r="74" spans="1:8" ht="21.75" customHeight="1">
      <c r="A74" s="1" t="str">
        <f>"IN30051381090014"</f>
        <v>IN30051381090014</v>
      </c>
      <c r="B74" s="1" t="s">
        <v>327</v>
      </c>
      <c r="C74" s="1" t="s">
        <v>328</v>
      </c>
      <c r="D74" s="1" t="s">
        <v>329</v>
      </c>
      <c r="E74" s="1" t="s">
        <v>330</v>
      </c>
      <c r="F74" s="1"/>
      <c r="G74" s="1">
        <v>560022</v>
      </c>
      <c r="H74" s="1">
        <v>15</v>
      </c>
    </row>
    <row r="75" spans="1:8" ht="21.75" customHeight="1">
      <c r="A75" s="1" t="str">
        <f>"1203600001279064"</f>
        <v>1203600001279064</v>
      </c>
      <c r="B75" s="1" t="s">
        <v>331</v>
      </c>
      <c r="C75" s="1" t="s">
        <v>332</v>
      </c>
      <c r="D75" s="1" t="s">
        <v>333</v>
      </c>
      <c r="E75" s="1" t="s">
        <v>334</v>
      </c>
      <c r="F75" s="1" t="s">
        <v>28</v>
      </c>
      <c r="G75" s="1">
        <v>560047</v>
      </c>
      <c r="H75" s="1">
        <v>150</v>
      </c>
    </row>
    <row r="76" spans="1:8" ht="21.75" customHeight="1">
      <c r="A76" s="1" t="str">
        <f>"1208160000610510"</f>
        <v>1208160000610510</v>
      </c>
      <c r="B76" s="1" t="s">
        <v>335</v>
      </c>
      <c r="C76" s="1" t="s">
        <v>336</v>
      </c>
      <c r="D76" s="1" t="s">
        <v>337</v>
      </c>
      <c r="E76" s="1" t="s">
        <v>338</v>
      </c>
      <c r="F76" s="1" t="s">
        <v>28</v>
      </c>
      <c r="G76" s="1">
        <v>560069</v>
      </c>
      <c r="H76" s="1">
        <v>75</v>
      </c>
    </row>
    <row r="77" spans="1:8" ht="21.75" customHeight="1">
      <c r="A77" s="1" t="str">
        <f>"IN30115124369400"</f>
        <v>IN30115124369400</v>
      </c>
      <c r="B77" s="1" t="s">
        <v>339</v>
      </c>
      <c r="C77" s="1" t="s">
        <v>340</v>
      </c>
      <c r="D77" s="1" t="s">
        <v>341</v>
      </c>
      <c r="E77" s="1" t="s">
        <v>342</v>
      </c>
      <c r="F77" s="1"/>
      <c r="G77" s="1">
        <v>560076</v>
      </c>
      <c r="H77" s="1">
        <v>75</v>
      </c>
    </row>
    <row r="78" spans="1:8" ht="21.75" customHeight="1">
      <c r="A78" s="1" t="str">
        <f>"1203230002307401"</f>
        <v>1203230002307401</v>
      </c>
      <c r="B78" s="1" t="s">
        <v>343</v>
      </c>
      <c r="C78" s="1" t="s">
        <v>344</v>
      </c>
      <c r="D78" s="1" t="s">
        <v>345</v>
      </c>
      <c r="E78" s="1" t="s">
        <v>346</v>
      </c>
      <c r="F78" s="1" t="s">
        <v>347</v>
      </c>
      <c r="G78" s="1">
        <v>560078</v>
      </c>
      <c r="H78" s="1">
        <v>7.5</v>
      </c>
    </row>
    <row r="79" spans="1:8" ht="21.75" customHeight="1">
      <c r="A79" s="1" t="str">
        <f>"1208160061679117"</f>
        <v>1208160061679117</v>
      </c>
      <c r="B79" s="1" t="s">
        <v>349</v>
      </c>
      <c r="C79" s="1" t="s">
        <v>350</v>
      </c>
      <c r="D79" s="1"/>
      <c r="E79" s="1"/>
      <c r="F79" s="1" t="s">
        <v>351</v>
      </c>
      <c r="G79" s="1">
        <v>577301</v>
      </c>
      <c r="H79" s="1">
        <v>37.5</v>
      </c>
    </row>
    <row r="80" spans="1:8" ht="21.75" customHeight="1">
      <c r="A80" s="1" t="str">
        <f>"1208160010110261"</f>
        <v>1208160010110261</v>
      </c>
      <c r="B80" s="1" t="s">
        <v>353</v>
      </c>
      <c r="C80" s="1" t="s">
        <v>354</v>
      </c>
      <c r="D80" s="1" t="s">
        <v>355</v>
      </c>
      <c r="E80" s="1"/>
      <c r="F80" s="1" t="s">
        <v>356</v>
      </c>
      <c r="G80" s="1">
        <v>581358</v>
      </c>
      <c r="H80" s="1">
        <v>7.5</v>
      </c>
    </row>
    <row r="81" spans="1:8" ht="21.75" customHeight="1">
      <c r="A81" s="1" t="str">
        <f>"1208180000178271"</f>
        <v>1208180000178271</v>
      </c>
      <c r="B81" s="1" t="s">
        <v>358</v>
      </c>
      <c r="C81" s="1" t="s">
        <v>359</v>
      </c>
      <c r="D81" s="1" t="s">
        <v>360</v>
      </c>
      <c r="E81" s="1" t="s">
        <v>361</v>
      </c>
      <c r="F81" s="1" t="s">
        <v>357</v>
      </c>
      <c r="G81" s="1">
        <v>591123</v>
      </c>
      <c r="H81" s="1">
        <v>7.5</v>
      </c>
    </row>
    <row r="82" spans="1:8" ht="21.75" customHeight="1">
      <c r="A82" s="1" t="str">
        <f>"IN30154956077462"</f>
        <v>IN30154956077462</v>
      </c>
      <c r="B82" s="1" t="s">
        <v>362</v>
      </c>
      <c r="C82" s="1" t="s">
        <v>363</v>
      </c>
      <c r="D82" s="1" t="s">
        <v>364</v>
      </c>
      <c r="E82" s="1" t="s">
        <v>365</v>
      </c>
      <c r="F82" s="1"/>
      <c r="G82" s="1">
        <v>600004</v>
      </c>
      <c r="H82" s="1">
        <v>15</v>
      </c>
    </row>
    <row r="83" spans="1:8" ht="21.75" customHeight="1">
      <c r="A83" s="1" t="str">
        <f>"IN30051312060534"</f>
        <v>IN30051312060534</v>
      </c>
      <c r="B83" s="1" t="s">
        <v>367</v>
      </c>
      <c r="C83" s="1" t="s">
        <v>368</v>
      </c>
      <c r="D83" s="1" t="s">
        <v>369</v>
      </c>
      <c r="E83" s="1" t="s">
        <v>370</v>
      </c>
      <c r="F83" s="1"/>
      <c r="G83" s="1">
        <v>600005</v>
      </c>
      <c r="H83" s="1">
        <v>75</v>
      </c>
    </row>
    <row r="84" spans="1:8" ht="21.75" customHeight="1">
      <c r="A84" s="1" t="str">
        <f>"IN30154919170809"</f>
        <v>IN30154919170809</v>
      </c>
      <c r="B84" s="1" t="s">
        <v>372</v>
      </c>
      <c r="C84" s="1" t="s">
        <v>373</v>
      </c>
      <c r="D84" s="1" t="s">
        <v>374</v>
      </c>
      <c r="E84" s="1" t="s">
        <v>375</v>
      </c>
      <c r="F84" s="1"/>
      <c r="G84" s="1">
        <v>600038</v>
      </c>
      <c r="H84" s="1">
        <v>225</v>
      </c>
    </row>
    <row r="85" spans="1:8" ht="21.75" customHeight="1">
      <c r="A85" s="1" t="str">
        <f>"1203320011161718"</f>
        <v>1203320011161718</v>
      </c>
      <c r="B85" s="1" t="s">
        <v>376</v>
      </c>
      <c r="C85" s="1" t="s">
        <v>377</v>
      </c>
      <c r="D85" s="1" t="s">
        <v>378</v>
      </c>
      <c r="E85" s="1" t="s">
        <v>379</v>
      </c>
      <c r="F85" s="1" t="s">
        <v>380</v>
      </c>
      <c r="G85" s="1">
        <v>600063</v>
      </c>
      <c r="H85" s="1">
        <v>56.25</v>
      </c>
    </row>
    <row r="86" spans="1:8" ht="21.75" customHeight="1">
      <c r="A86" s="1" t="str">
        <f>"IN30051382067958"</f>
        <v>IN30051382067958</v>
      </c>
      <c r="B86" s="1" t="s">
        <v>381</v>
      </c>
      <c r="C86" s="1" t="s">
        <v>382</v>
      </c>
      <c r="D86" s="1" t="s">
        <v>383</v>
      </c>
      <c r="E86" s="1" t="s">
        <v>384</v>
      </c>
      <c r="F86" s="1"/>
      <c r="G86" s="1">
        <v>600071</v>
      </c>
      <c r="H86" s="1">
        <v>37.5</v>
      </c>
    </row>
    <row r="87" spans="1:8" ht="21.75" customHeight="1">
      <c r="A87" s="1" t="str">
        <f>"1208160021734261"</f>
        <v>1208160021734261</v>
      </c>
      <c r="B87" s="1" t="s">
        <v>385</v>
      </c>
      <c r="C87" s="1" t="s">
        <v>386</v>
      </c>
      <c r="D87" s="1" t="s">
        <v>387</v>
      </c>
      <c r="E87" s="1"/>
      <c r="F87" s="1" t="s">
        <v>58</v>
      </c>
      <c r="G87" s="1">
        <v>600081</v>
      </c>
      <c r="H87" s="1">
        <v>909</v>
      </c>
    </row>
    <row r="88" spans="1:8" ht="21.75" customHeight="1">
      <c r="A88" s="1" t="str">
        <f>"IN30189511074431"</f>
        <v>IN30189511074431</v>
      </c>
      <c r="B88" s="1" t="s">
        <v>388</v>
      </c>
      <c r="C88" s="1" t="s">
        <v>389</v>
      </c>
      <c r="D88" s="1" t="s">
        <v>390</v>
      </c>
      <c r="E88" s="1" t="s">
        <v>391</v>
      </c>
      <c r="F88" s="1"/>
      <c r="G88" s="1">
        <v>600103</v>
      </c>
      <c r="H88" s="1">
        <v>7.5</v>
      </c>
    </row>
    <row r="89" spans="1:8" ht="21.75" customHeight="1">
      <c r="A89" s="1" t="str">
        <f>"IN30115127077098"</f>
        <v>IN30115127077098</v>
      </c>
      <c r="B89" s="1" t="s">
        <v>392</v>
      </c>
      <c r="C89" s="1" t="s">
        <v>393</v>
      </c>
      <c r="D89" s="1" t="s">
        <v>394</v>
      </c>
      <c r="E89" s="1" t="s">
        <v>395</v>
      </c>
      <c r="F89" s="1"/>
      <c r="G89" s="1">
        <v>608002</v>
      </c>
      <c r="H89" s="1">
        <v>0.75</v>
      </c>
    </row>
    <row r="90" spans="1:8" ht="21.75" customHeight="1">
      <c r="A90" s="1" t="str">
        <f>"IN30108022239293"</f>
        <v>IN30108022239293</v>
      </c>
      <c r="B90" s="1" t="s">
        <v>397</v>
      </c>
      <c r="C90" s="1" t="s">
        <v>398</v>
      </c>
      <c r="D90" s="1" t="s">
        <v>399</v>
      </c>
      <c r="E90" s="1" t="s">
        <v>400</v>
      </c>
      <c r="F90" s="1"/>
      <c r="G90" s="1">
        <v>620014</v>
      </c>
      <c r="H90" s="1">
        <v>75</v>
      </c>
    </row>
    <row r="91" spans="1:8" ht="21.75" customHeight="1">
      <c r="A91" s="1" t="str">
        <f>"IN30226911374007"</f>
        <v>IN30226911374007</v>
      </c>
      <c r="B91" s="1" t="s">
        <v>403</v>
      </c>
      <c r="C91" s="1" t="s">
        <v>404</v>
      </c>
      <c r="D91" s="1" t="s">
        <v>405</v>
      </c>
      <c r="E91" s="1" t="s">
        <v>406</v>
      </c>
      <c r="F91" s="1"/>
      <c r="G91" s="1">
        <v>625014</v>
      </c>
      <c r="H91" s="1">
        <v>2.25</v>
      </c>
    </row>
    <row r="92" spans="1:8" ht="21.75" customHeight="1">
      <c r="A92" s="1" t="str">
        <f>"1208030000003297"</f>
        <v>1208030000003297</v>
      </c>
      <c r="B92" s="1" t="s">
        <v>407</v>
      </c>
      <c r="C92" s="1" t="s">
        <v>408</v>
      </c>
      <c r="D92" s="1" t="s">
        <v>409</v>
      </c>
      <c r="E92" s="1" t="s">
        <v>410</v>
      </c>
      <c r="F92" s="1" t="s">
        <v>411</v>
      </c>
      <c r="G92" s="1">
        <v>632513</v>
      </c>
      <c r="H92" s="1">
        <v>24.75</v>
      </c>
    </row>
    <row r="93" spans="1:8" ht="21.75" customHeight="1">
      <c r="A93" s="1" t="str">
        <f>"1201060001811592"</f>
        <v>1201060001811592</v>
      </c>
      <c r="B93" s="1" t="s">
        <v>413</v>
      </c>
      <c r="C93" s="1" t="s">
        <v>414</v>
      </c>
      <c r="D93" s="1" t="s">
        <v>415</v>
      </c>
      <c r="E93" s="1" t="s">
        <v>416</v>
      </c>
      <c r="F93" s="1" t="s">
        <v>417</v>
      </c>
      <c r="G93" s="1">
        <v>637019</v>
      </c>
      <c r="H93" s="1">
        <v>0.75</v>
      </c>
    </row>
    <row r="94" spans="1:8" ht="21.75" customHeight="1">
      <c r="A94" s="1" t="str">
        <f>"IN30051381845034"</f>
        <v>IN30051381845034</v>
      </c>
      <c r="B94" s="1" t="s">
        <v>418</v>
      </c>
      <c r="C94" s="1" t="s">
        <v>419</v>
      </c>
      <c r="D94" s="1" t="s">
        <v>420</v>
      </c>
      <c r="E94" s="1" t="s">
        <v>421</v>
      </c>
      <c r="F94" s="1"/>
      <c r="G94" s="1">
        <v>638003</v>
      </c>
      <c r="H94" s="1">
        <v>3</v>
      </c>
    </row>
    <row r="95" spans="1:8" ht="21.75" customHeight="1">
      <c r="A95" s="1" t="str">
        <f>"1208160083469124"</f>
        <v>1208160083469124</v>
      </c>
      <c r="B95" s="1" t="s">
        <v>423</v>
      </c>
      <c r="C95" s="1" t="s">
        <v>424</v>
      </c>
      <c r="D95" s="1" t="s">
        <v>425</v>
      </c>
      <c r="E95" s="1" t="s">
        <v>426</v>
      </c>
      <c r="F95" s="1" t="s">
        <v>427</v>
      </c>
      <c r="G95" s="1">
        <v>642126</v>
      </c>
      <c r="H95" s="1">
        <v>129.75</v>
      </c>
    </row>
    <row r="96" spans="1:8" ht="21.75" customHeight="1">
      <c r="A96" s="1" t="str">
        <f>"1201090012686242"</f>
        <v>1201090012686242</v>
      </c>
      <c r="B96" s="1" t="s">
        <v>428</v>
      </c>
      <c r="C96" s="1" t="s">
        <v>429</v>
      </c>
      <c r="D96" s="1" t="s">
        <v>430</v>
      </c>
      <c r="E96" s="1"/>
      <c r="F96" s="1" t="s">
        <v>431</v>
      </c>
      <c r="G96" s="1">
        <v>671319</v>
      </c>
      <c r="H96" s="1">
        <v>130.5</v>
      </c>
    </row>
    <row r="97" spans="1:8" ht="21.75" customHeight="1">
      <c r="A97" s="1" t="str">
        <f>"IN30039417157832"</f>
        <v>IN30039417157832</v>
      </c>
      <c r="B97" s="1" t="s">
        <v>433</v>
      </c>
      <c r="C97" s="1" t="s">
        <v>434</v>
      </c>
      <c r="D97" s="1" t="s">
        <v>435</v>
      </c>
      <c r="E97" s="1" t="s">
        <v>436</v>
      </c>
      <c r="F97" s="1"/>
      <c r="G97" s="1">
        <v>671321</v>
      </c>
      <c r="H97" s="1">
        <v>2.25</v>
      </c>
    </row>
    <row r="98" spans="1:8" ht="21.75" customHeight="1">
      <c r="A98" s="1" t="str">
        <f>"IN30226913960710"</f>
        <v>IN30226913960710</v>
      </c>
      <c r="B98" s="1" t="s">
        <v>439</v>
      </c>
      <c r="C98" s="1" t="s">
        <v>440</v>
      </c>
      <c r="D98" s="1" t="s">
        <v>441</v>
      </c>
      <c r="E98" s="1" t="s">
        <v>442</v>
      </c>
      <c r="F98" s="1"/>
      <c r="G98" s="1">
        <v>673008</v>
      </c>
      <c r="H98" s="1">
        <v>0.75</v>
      </c>
    </row>
    <row r="99" spans="1:8" ht="21.75" customHeight="1">
      <c r="A99" s="1" t="str">
        <f>"IN30023913610500"</f>
        <v>IN30023913610500</v>
      </c>
      <c r="B99" s="1" t="s">
        <v>444</v>
      </c>
      <c r="C99" s="1">
        <v>283</v>
      </c>
      <c r="D99" s="1" t="s">
        <v>445</v>
      </c>
      <c r="E99" s="1" t="s">
        <v>446</v>
      </c>
      <c r="F99" s="1"/>
      <c r="G99" s="1">
        <v>676101</v>
      </c>
      <c r="H99" s="1">
        <v>18</v>
      </c>
    </row>
    <row r="100" spans="1:8" ht="21.75" customHeight="1">
      <c r="A100" s="1" t="str">
        <f>"IN30189510843283"</f>
        <v>IN30189510843283</v>
      </c>
      <c r="B100" s="1" t="s">
        <v>449</v>
      </c>
      <c r="C100" s="1" t="s">
        <v>450</v>
      </c>
      <c r="D100" s="1" t="s">
        <v>451</v>
      </c>
      <c r="E100" s="1" t="s">
        <v>452</v>
      </c>
      <c r="F100" s="1"/>
      <c r="G100" s="1">
        <v>676101</v>
      </c>
      <c r="H100" s="1">
        <v>37.5</v>
      </c>
    </row>
    <row r="101" spans="1:8" ht="21.75" customHeight="1">
      <c r="A101" s="1" t="str">
        <f>"IN30177416186928"</f>
        <v>IN30177416186928</v>
      </c>
      <c r="B101" s="1" t="s">
        <v>453</v>
      </c>
      <c r="C101" s="1" t="s">
        <v>454</v>
      </c>
      <c r="D101" s="1" t="s">
        <v>455</v>
      </c>
      <c r="E101" s="1" t="s">
        <v>456</v>
      </c>
      <c r="F101" s="1"/>
      <c r="G101" s="1">
        <v>679322</v>
      </c>
      <c r="H101" s="1">
        <v>1.5</v>
      </c>
    </row>
    <row r="102" spans="1:8" ht="21.75" customHeight="1">
      <c r="A102" s="1" t="str">
        <f>"1204470005305914"</f>
        <v>1204470005305914</v>
      </c>
      <c r="B102" s="1" t="s">
        <v>459</v>
      </c>
      <c r="C102" s="1" t="s">
        <v>460</v>
      </c>
      <c r="D102" s="1" t="s">
        <v>461</v>
      </c>
      <c r="E102" s="1"/>
      <c r="F102" s="1" t="s">
        <v>462</v>
      </c>
      <c r="G102" s="1">
        <v>679523</v>
      </c>
      <c r="H102" s="1">
        <v>36.75</v>
      </c>
    </row>
    <row r="103" spans="1:8" ht="21.75" customHeight="1">
      <c r="A103" s="1" t="str">
        <f>"1204760000073711"</f>
        <v>1204760000073711</v>
      </c>
      <c r="B103" s="1" t="s">
        <v>463</v>
      </c>
      <c r="C103" s="1" t="s">
        <v>464</v>
      </c>
      <c r="D103" s="1" t="s">
        <v>465</v>
      </c>
      <c r="E103" s="1"/>
      <c r="F103" s="1" t="s">
        <v>37</v>
      </c>
      <c r="G103" s="1">
        <v>680008</v>
      </c>
      <c r="H103" s="1">
        <v>75</v>
      </c>
    </row>
    <row r="104" spans="1:8" ht="21.75" customHeight="1">
      <c r="A104" s="1" t="str">
        <f>"1203440000140700"</f>
        <v>1203440000140700</v>
      </c>
      <c r="B104" s="1" t="s">
        <v>466</v>
      </c>
      <c r="C104" s="1" t="s">
        <v>467</v>
      </c>
      <c r="D104" s="1" t="s">
        <v>468</v>
      </c>
      <c r="E104" s="1" t="s">
        <v>469</v>
      </c>
      <c r="F104" s="1" t="s">
        <v>469</v>
      </c>
      <c r="G104" s="1">
        <v>680014</v>
      </c>
      <c r="H104" s="1">
        <v>37.5</v>
      </c>
    </row>
    <row r="105" spans="1:8" ht="21.75" customHeight="1">
      <c r="A105" s="1" t="str">
        <f>"IN30051312461590"</f>
        <v>IN30051312461590</v>
      </c>
      <c r="B105" s="1" t="s">
        <v>471</v>
      </c>
      <c r="C105" s="1" t="s">
        <v>472</v>
      </c>
      <c r="D105" s="1" t="s">
        <v>473</v>
      </c>
      <c r="E105" s="1" t="s">
        <v>474</v>
      </c>
      <c r="F105" s="1"/>
      <c r="G105" s="1">
        <v>680014</v>
      </c>
      <c r="H105" s="1">
        <v>2.25</v>
      </c>
    </row>
    <row r="106" spans="1:8" ht="21.75" customHeight="1">
      <c r="A106" s="1" t="str">
        <f>"IN30177416293480"</f>
        <v>IN30177416293480</v>
      </c>
      <c r="B106" s="1" t="s">
        <v>475</v>
      </c>
      <c r="C106" s="1" t="s">
        <v>476</v>
      </c>
      <c r="D106" s="1" t="s">
        <v>477</v>
      </c>
      <c r="E106" s="1" t="s">
        <v>478</v>
      </c>
      <c r="F106" s="1"/>
      <c r="G106" s="1">
        <v>680015</v>
      </c>
      <c r="H106" s="1">
        <v>84</v>
      </c>
    </row>
    <row r="107" spans="1:8" ht="21.75" customHeight="1">
      <c r="A107" s="1" t="str">
        <f>"1203320004032611"</f>
        <v>1203320004032611</v>
      </c>
      <c r="B107" s="1" t="s">
        <v>479</v>
      </c>
      <c r="C107" s="1" t="s">
        <v>480</v>
      </c>
      <c r="D107" s="1" t="s">
        <v>481</v>
      </c>
      <c r="E107" s="1" t="s">
        <v>482</v>
      </c>
      <c r="F107" s="1" t="s">
        <v>37</v>
      </c>
      <c r="G107" s="1">
        <v>680305</v>
      </c>
      <c r="H107" s="1">
        <v>45</v>
      </c>
    </row>
    <row r="108" spans="1:8" ht="21.75" customHeight="1">
      <c r="A108" s="1" t="str">
        <f>"IN30177414209911"</f>
        <v>IN30177414209911</v>
      </c>
      <c r="B108" s="1" t="s">
        <v>483</v>
      </c>
      <c r="C108" s="1" t="s">
        <v>484</v>
      </c>
      <c r="D108" s="1" t="s">
        <v>485</v>
      </c>
      <c r="E108" s="1" t="s">
        <v>486</v>
      </c>
      <c r="F108" s="1"/>
      <c r="G108" s="1">
        <v>680506</v>
      </c>
      <c r="H108" s="1">
        <v>15</v>
      </c>
    </row>
    <row r="109" spans="1:8" ht="21.75" customHeight="1">
      <c r="A109" s="1" t="str">
        <f>"1304140006377866"</f>
        <v>1304140006377866</v>
      </c>
      <c r="B109" s="1" t="s">
        <v>488</v>
      </c>
      <c r="C109" s="1" t="s">
        <v>489</v>
      </c>
      <c r="D109" s="1" t="s">
        <v>490</v>
      </c>
      <c r="E109" s="1"/>
      <c r="F109" s="1" t="s">
        <v>37</v>
      </c>
      <c r="G109" s="1">
        <v>680549</v>
      </c>
      <c r="H109" s="1">
        <v>22.5</v>
      </c>
    </row>
    <row r="110" spans="1:8" ht="21.75" customHeight="1">
      <c r="A110" s="1" t="str">
        <f>"1204470005224985"</f>
        <v>1204470005224985</v>
      </c>
      <c r="B110" s="1" t="s">
        <v>491</v>
      </c>
      <c r="C110" s="1" t="s">
        <v>492</v>
      </c>
      <c r="D110" s="1" t="s">
        <v>493</v>
      </c>
      <c r="E110" s="1"/>
      <c r="F110" s="1" t="s">
        <v>494</v>
      </c>
      <c r="G110" s="1">
        <v>680566</v>
      </c>
      <c r="H110" s="1">
        <v>208.5</v>
      </c>
    </row>
    <row r="111" spans="1:8" ht="21.75" customHeight="1">
      <c r="A111" s="1" t="str">
        <f>"1204760000216327"</f>
        <v>1204760000216327</v>
      </c>
      <c r="B111" s="1" t="s">
        <v>496</v>
      </c>
      <c r="C111" s="1" t="s">
        <v>497</v>
      </c>
      <c r="D111" s="1" t="s">
        <v>498</v>
      </c>
      <c r="E111" s="1" t="s">
        <v>499</v>
      </c>
      <c r="F111" s="1" t="s">
        <v>42</v>
      </c>
      <c r="G111" s="1">
        <v>680567</v>
      </c>
      <c r="H111" s="1">
        <v>5568.5</v>
      </c>
    </row>
    <row r="112" spans="1:8" ht="21.75" customHeight="1">
      <c r="A112" s="1" t="str">
        <f>"1209180000116756"</f>
        <v>1209180000116756</v>
      </c>
      <c r="B112" s="1" t="s">
        <v>500</v>
      </c>
      <c r="C112" s="1" t="s">
        <v>501</v>
      </c>
      <c r="D112" s="1" t="s">
        <v>502</v>
      </c>
      <c r="E112" s="1"/>
      <c r="F112" s="1" t="s">
        <v>42</v>
      </c>
      <c r="G112" s="1">
        <v>680568</v>
      </c>
      <c r="H112" s="1">
        <v>11.25</v>
      </c>
    </row>
    <row r="113" spans="1:8" ht="21.75" customHeight="1">
      <c r="A113" s="1" t="str">
        <f>"1204470005094359"</f>
        <v>1204470005094359</v>
      </c>
      <c r="B113" s="1" t="s">
        <v>503</v>
      </c>
      <c r="C113" s="1" t="s">
        <v>504</v>
      </c>
      <c r="D113" s="1" t="s">
        <v>505</v>
      </c>
      <c r="E113" s="1"/>
      <c r="F113" s="1" t="s">
        <v>42</v>
      </c>
      <c r="G113" s="1">
        <v>680568</v>
      </c>
      <c r="H113" s="1">
        <v>350.25</v>
      </c>
    </row>
    <row r="114" spans="1:8" ht="21.75" customHeight="1">
      <c r="A114" s="1" t="str">
        <f>"IN30226913353626"</f>
        <v>IN30226913353626</v>
      </c>
      <c r="B114" s="1" t="s">
        <v>506</v>
      </c>
      <c r="C114" s="1" t="s">
        <v>507</v>
      </c>
      <c r="D114" s="1" t="s">
        <v>508</v>
      </c>
      <c r="E114" s="1" t="s">
        <v>509</v>
      </c>
      <c r="F114" s="1"/>
      <c r="G114" s="1">
        <v>680569</v>
      </c>
      <c r="H114" s="1">
        <v>210.75</v>
      </c>
    </row>
    <row r="115" spans="1:8" ht="21.75" customHeight="1">
      <c r="A115" s="1" t="str">
        <f>"IN30220111265769"</f>
        <v>IN30220111265769</v>
      </c>
      <c r="B115" s="1" t="s">
        <v>510</v>
      </c>
      <c r="C115" s="1" t="s">
        <v>511</v>
      </c>
      <c r="D115" s="1" t="s">
        <v>512</v>
      </c>
      <c r="E115" s="1" t="s">
        <v>513</v>
      </c>
      <c r="F115" s="1"/>
      <c r="G115" s="1">
        <v>680614</v>
      </c>
      <c r="H115" s="1">
        <v>149.25</v>
      </c>
    </row>
    <row r="116" spans="1:8" ht="21.75" customHeight="1">
      <c r="A116" s="1" t="str">
        <f>"IN30154931127196"</f>
        <v>IN30154931127196</v>
      </c>
      <c r="B116" s="1" t="s">
        <v>514</v>
      </c>
      <c r="C116" s="1" t="s">
        <v>515</v>
      </c>
      <c r="D116" s="1" t="s">
        <v>516</v>
      </c>
      <c r="E116" s="1" t="s">
        <v>42</v>
      </c>
      <c r="F116" s="1"/>
      <c r="G116" s="1">
        <v>680620</v>
      </c>
      <c r="H116" s="1">
        <v>15</v>
      </c>
    </row>
    <row r="117" spans="1:8" ht="21.75" customHeight="1">
      <c r="A117" s="1" t="str">
        <f>"IN30051318792933"</f>
        <v>IN30051318792933</v>
      </c>
      <c r="B117" s="1" t="s">
        <v>517</v>
      </c>
      <c r="C117" s="1" t="s">
        <v>518</v>
      </c>
      <c r="D117" s="1" t="s">
        <v>519</v>
      </c>
      <c r="E117" s="1" t="s">
        <v>520</v>
      </c>
      <c r="F117" s="1"/>
      <c r="G117" s="1">
        <v>680620</v>
      </c>
      <c r="H117" s="1">
        <v>7.5</v>
      </c>
    </row>
    <row r="118" spans="1:8" ht="21.75" customHeight="1">
      <c r="A118" s="1" t="str">
        <f>"1204470005169196"</f>
        <v>1204470005169196</v>
      </c>
      <c r="B118" s="1" t="s">
        <v>517</v>
      </c>
      <c r="C118" s="1" t="s">
        <v>521</v>
      </c>
      <c r="D118" s="1" t="s">
        <v>522</v>
      </c>
      <c r="E118" s="1"/>
      <c r="F118" s="1" t="s">
        <v>37</v>
      </c>
      <c r="G118" s="1">
        <v>680623</v>
      </c>
      <c r="H118" s="1">
        <v>6</v>
      </c>
    </row>
    <row r="119" spans="1:8" ht="21.75" customHeight="1">
      <c r="A119" s="1" t="str">
        <f>"IN30163741201528"</f>
        <v>IN30163741201528</v>
      </c>
      <c r="B119" s="1" t="s">
        <v>523</v>
      </c>
      <c r="C119" s="1" t="s">
        <v>524</v>
      </c>
      <c r="D119" s="1" t="s">
        <v>525</v>
      </c>
      <c r="E119" s="1" t="s">
        <v>526</v>
      </c>
      <c r="F119" s="1"/>
      <c r="G119" s="1">
        <v>680662</v>
      </c>
      <c r="H119" s="1">
        <v>75</v>
      </c>
    </row>
    <row r="120" spans="1:8" ht="21.75" customHeight="1">
      <c r="A120" s="1" t="str">
        <f>"1202300000863532"</f>
        <v>1202300000863532</v>
      </c>
      <c r="B120" s="1" t="s">
        <v>527</v>
      </c>
      <c r="C120" s="1" t="s">
        <v>528</v>
      </c>
      <c r="D120" s="1" t="s">
        <v>529</v>
      </c>
      <c r="E120" s="1"/>
      <c r="F120" s="1" t="s">
        <v>530</v>
      </c>
      <c r="G120" s="1">
        <v>680664</v>
      </c>
      <c r="H120" s="1">
        <v>210.75</v>
      </c>
    </row>
    <row r="121" spans="1:8" ht="21.75" customHeight="1">
      <c r="A121" s="1" t="str">
        <f>"1208160062950541"</f>
        <v>1208160062950541</v>
      </c>
      <c r="B121" s="1" t="s">
        <v>531</v>
      </c>
      <c r="C121" s="1" t="s">
        <v>532</v>
      </c>
      <c r="D121" s="1"/>
      <c r="E121" s="1"/>
      <c r="F121" s="1" t="s">
        <v>42</v>
      </c>
      <c r="G121" s="1">
        <v>680664</v>
      </c>
      <c r="H121" s="1">
        <v>41.25</v>
      </c>
    </row>
    <row r="122" spans="1:8" ht="21.75" customHeight="1">
      <c r="A122" s="1" t="str">
        <f>"1204760000307995"</f>
        <v>1204760000307995</v>
      </c>
      <c r="B122" s="1" t="s">
        <v>533</v>
      </c>
      <c r="C122" s="1" t="s">
        <v>534</v>
      </c>
      <c r="D122" s="1" t="s">
        <v>535</v>
      </c>
      <c r="E122" s="1"/>
      <c r="F122" s="1" t="s">
        <v>530</v>
      </c>
      <c r="G122" s="1">
        <v>680671</v>
      </c>
      <c r="H122" s="1">
        <v>26.25</v>
      </c>
    </row>
    <row r="123" spans="1:8" ht="21.75" customHeight="1">
      <c r="A123" s="1" t="str">
        <f>"IN30115127797417"</f>
        <v>IN30115127797417</v>
      </c>
      <c r="B123" s="1" t="s">
        <v>536</v>
      </c>
      <c r="C123" s="1" t="s">
        <v>537</v>
      </c>
      <c r="D123" s="1" t="s">
        <v>538</v>
      </c>
      <c r="E123" s="1" t="s">
        <v>539</v>
      </c>
      <c r="F123" s="1"/>
      <c r="G123" s="1">
        <v>680689</v>
      </c>
      <c r="H123" s="1">
        <v>1500</v>
      </c>
    </row>
    <row r="124" spans="1:8" ht="21.75" customHeight="1">
      <c r="A124" s="1" t="str">
        <f>"IN30163741081542"</f>
        <v>IN30163741081542</v>
      </c>
      <c r="B124" s="1" t="s">
        <v>540</v>
      </c>
      <c r="C124" s="1" t="s">
        <v>541</v>
      </c>
      <c r="D124" s="1" t="s">
        <v>542</v>
      </c>
      <c r="E124" s="1" t="s">
        <v>543</v>
      </c>
      <c r="F124" s="1"/>
      <c r="G124" s="1">
        <v>680697</v>
      </c>
      <c r="H124" s="1">
        <v>54</v>
      </c>
    </row>
    <row r="125" spans="1:8" ht="21.75" customHeight="1">
      <c r="A125" s="1" t="str">
        <f>"IN30163740240702"</f>
        <v>IN30163740240702</v>
      </c>
      <c r="B125" s="1" t="s">
        <v>544</v>
      </c>
      <c r="C125" s="1" t="s">
        <v>545</v>
      </c>
      <c r="D125" s="1" t="s">
        <v>546</v>
      </c>
      <c r="E125" s="1" t="s">
        <v>474</v>
      </c>
      <c r="F125" s="1"/>
      <c r="G125" s="1">
        <v>680702</v>
      </c>
      <c r="H125" s="1">
        <v>75</v>
      </c>
    </row>
    <row r="126" spans="1:8" ht="21.75" customHeight="1">
      <c r="A126" s="1" t="str">
        <f>"IN30223611994607"</f>
        <v>IN30223611994607</v>
      </c>
      <c r="B126" s="1" t="s">
        <v>548</v>
      </c>
      <c r="C126" s="1">
        <v>1249</v>
      </c>
      <c r="D126" s="1" t="s">
        <v>549</v>
      </c>
      <c r="E126" s="1" t="s">
        <v>550</v>
      </c>
      <c r="F126" s="1"/>
      <c r="G126" s="1">
        <v>682005</v>
      </c>
      <c r="H126" s="1">
        <v>9</v>
      </c>
    </row>
    <row r="127" spans="1:8" ht="21.75" customHeight="1">
      <c r="A127" s="1" t="str">
        <f>"IN30311610736664"</f>
        <v>IN30311610736664</v>
      </c>
      <c r="B127" s="1" t="s">
        <v>551</v>
      </c>
      <c r="C127" s="1" t="s">
        <v>552</v>
      </c>
      <c r="D127" s="1" t="s">
        <v>553</v>
      </c>
      <c r="E127" s="1" t="s">
        <v>554</v>
      </c>
      <c r="F127" s="1"/>
      <c r="G127" s="1">
        <v>682006</v>
      </c>
      <c r="H127" s="1">
        <v>48.75</v>
      </c>
    </row>
    <row r="128" spans="1:8" ht="21.75" customHeight="1">
      <c r="A128" s="1" t="str">
        <f>"1203280000354438"</f>
        <v>1203280000354438</v>
      </c>
      <c r="B128" s="1" t="s">
        <v>555</v>
      </c>
      <c r="C128" s="1" t="s">
        <v>556</v>
      </c>
      <c r="D128" s="1" t="s">
        <v>557</v>
      </c>
      <c r="E128" s="1"/>
      <c r="F128" s="1" t="s">
        <v>52</v>
      </c>
      <c r="G128" s="1">
        <v>682020</v>
      </c>
      <c r="H128" s="1">
        <v>99.25</v>
      </c>
    </row>
    <row r="129" spans="1:8" ht="21.75" customHeight="1">
      <c r="A129" s="1" t="str">
        <f>"IN30023911740335"</f>
        <v>IN30023911740335</v>
      </c>
      <c r="B129" s="1" t="s">
        <v>558</v>
      </c>
      <c r="C129" s="1" t="s">
        <v>559</v>
      </c>
      <c r="D129" s="1" t="s">
        <v>560</v>
      </c>
      <c r="E129" s="1" t="s">
        <v>561</v>
      </c>
      <c r="F129" s="1"/>
      <c r="G129" s="1">
        <v>682020</v>
      </c>
      <c r="H129" s="1">
        <v>78</v>
      </c>
    </row>
    <row r="130" spans="1:8" ht="21.75" customHeight="1">
      <c r="A130" s="1" t="str">
        <f>"IN30131321145487"</f>
        <v>IN30131321145487</v>
      </c>
      <c r="B130" s="1" t="s">
        <v>562</v>
      </c>
      <c r="C130" s="1" t="s">
        <v>563</v>
      </c>
      <c r="D130" s="1" t="s">
        <v>564</v>
      </c>
      <c r="E130" s="1" t="s">
        <v>565</v>
      </c>
      <c r="F130" s="1"/>
      <c r="G130" s="1">
        <v>682036</v>
      </c>
      <c r="H130" s="1">
        <v>11.25</v>
      </c>
    </row>
    <row r="131" spans="1:8" ht="21.75" customHeight="1">
      <c r="A131" s="1" t="str">
        <f>"1205670000467737"</f>
        <v>1205670000467737</v>
      </c>
      <c r="B131" s="1" t="s">
        <v>566</v>
      </c>
      <c r="C131" s="1" t="s">
        <v>567</v>
      </c>
      <c r="D131" s="1" t="s">
        <v>568</v>
      </c>
      <c r="E131" s="1" t="s">
        <v>569</v>
      </c>
      <c r="F131" s="1" t="s">
        <v>570</v>
      </c>
      <c r="G131" s="1">
        <v>682301</v>
      </c>
      <c r="H131" s="1">
        <v>30</v>
      </c>
    </row>
    <row r="132" spans="1:8" ht="21.75" customHeight="1">
      <c r="A132" s="1" t="str">
        <f>"IN30023915809620"</f>
        <v>IN30023915809620</v>
      </c>
      <c r="B132" s="1" t="s">
        <v>571</v>
      </c>
      <c r="C132" s="1" t="s">
        <v>572</v>
      </c>
      <c r="D132" s="1" t="s">
        <v>573</v>
      </c>
      <c r="E132" s="1" t="s">
        <v>574</v>
      </c>
      <c r="F132" s="1"/>
      <c r="G132" s="1">
        <v>682502</v>
      </c>
      <c r="H132" s="1">
        <v>7.5</v>
      </c>
    </row>
    <row r="133" spans="1:8" ht="21.75" customHeight="1">
      <c r="A133" s="1" t="str">
        <f>"1201090001964795"</f>
        <v>1201090001964795</v>
      </c>
      <c r="B133" s="1" t="s">
        <v>575</v>
      </c>
      <c r="C133" s="1" t="s">
        <v>576</v>
      </c>
      <c r="D133" s="1" t="s">
        <v>577</v>
      </c>
      <c r="E133" s="1"/>
      <c r="F133" s="1" t="s">
        <v>59</v>
      </c>
      <c r="G133" s="1">
        <v>686536</v>
      </c>
      <c r="H133" s="1">
        <v>30.75</v>
      </c>
    </row>
    <row r="134" spans="1:8" ht="21.75" customHeight="1">
      <c r="A134" s="1" t="str">
        <f>"1204760000202865"</f>
        <v>1204760000202865</v>
      </c>
      <c r="B134" s="1" t="s">
        <v>578</v>
      </c>
      <c r="C134" s="1" t="s">
        <v>579</v>
      </c>
      <c r="D134" s="1" t="s">
        <v>580</v>
      </c>
      <c r="E134" s="1"/>
      <c r="F134" s="1" t="s">
        <v>59</v>
      </c>
      <c r="G134" s="1">
        <v>686555</v>
      </c>
      <c r="H134" s="1">
        <v>27.75</v>
      </c>
    </row>
    <row r="135" spans="1:8" ht="21.75" customHeight="1">
      <c r="A135" s="1" t="str">
        <f>"IN30039417447159"</f>
        <v>IN30039417447159</v>
      </c>
      <c r="B135" s="1" t="s">
        <v>581</v>
      </c>
      <c r="C135" s="1" t="s">
        <v>582</v>
      </c>
      <c r="D135" s="1" t="s">
        <v>583</v>
      </c>
      <c r="E135" s="1" t="s">
        <v>59</v>
      </c>
      <c r="F135" s="1"/>
      <c r="G135" s="1">
        <v>686575</v>
      </c>
      <c r="H135" s="1">
        <v>30</v>
      </c>
    </row>
    <row r="136" spans="1:8" ht="21.75" customHeight="1">
      <c r="A136" s="1" t="str">
        <f>"IN30177417015244"</f>
        <v>IN30177417015244</v>
      </c>
      <c r="B136" s="1" t="s">
        <v>584</v>
      </c>
      <c r="C136" s="1" t="s">
        <v>585</v>
      </c>
      <c r="D136" s="1" t="s">
        <v>586</v>
      </c>
      <c r="E136" s="1" t="s">
        <v>64</v>
      </c>
      <c r="F136" s="1"/>
      <c r="G136" s="1">
        <v>686651</v>
      </c>
      <c r="H136" s="1">
        <v>4.5</v>
      </c>
    </row>
    <row r="137" spans="1:8" ht="21.75" customHeight="1">
      <c r="A137" s="1" t="str">
        <f>"1201090012864870"</f>
        <v>1201090012864870</v>
      </c>
      <c r="B137" s="1" t="s">
        <v>587</v>
      </c>
      <c r="C137" s="1" t="s">
        <v>588</v>
      </c>
      <c r="D137" s="1" t="s">
        <v>589</v>
      </c>
      <c r="E137" s="1" t="s">
        <v>590</v>
      </c>
      <c r="F137" s="1" t="s">
        <v>54</v>
      </c>
      <c r="G137" s="1">
        <v>686665</v>
      </c>
      <c r="H137" s="1">
        <v>59.25</v>
      </c>
    </row>
    <row r="138" spans="1:8" ht="21.75" customHeight="1">
      <c r="A138" s="1" t="str">
        <f>"1201090012793400"</f>
        <v>1201090012793400</v>
      </c>
      <c r="B138" s="1" t="s">
        <v>591</v>
      </c>
      <c r="C138" s="1" t="s">
        <v>592</v>
      </c>
      <c r="D138" s="1" t="s">
        <v>593</v>
      </c>
      <c r="E138" s="1" t="s">
        <v>594</v>
      </c>
      <c r="F138" s="1" t="s">
        <v>54</v>
      </c>
      <c r="G138" s="1">
        <v>686726</v>
      </c>
      <c r="H138" s="1">
        <v>3.75</v>
      </c>
    </row>
    <row r="139" spans="1:8" ht="21.75" customHeight="1">
      <c r="A139" s="1" t="str">
        <f>"IN30021416406667"</f>
        <v>IN30021416406667</v>
      </c>
      <c r="B139" s="1" t="s">
        <v>596</v>
      </c>
      <c r="C139" s="1" t="s">
        <v>597</v>
      </c>
      <c r="D139" s="1"/>
      <c r="E139" s="1" t="s">
        <v>598</v>
      </c>
      <c r="F139" s="1"/>
      <c r="G139" s="1">
        <v>688523</v>
      </c>
      <c r="H139" s="1">
        <v>75</v>
      </c>
    </row>
    <row r="140" spans="1:8" ht="21.75" customHeight="1">
      <c r="A140" s="1" t="str">
        <f>"IN30226911449481"</f>
        <v>IN30226911449481</v>
      </c>
      <c r="B140" s="1" t="s">
        <v>599</v>
      </c>
      <c r="C140" s="1" t="s">
        <v>600</v>
      </c>
      <c r="D140" s="1" t="s">
        <v>601</v>
      </c>
      <c r="E140" s="1" t="s">
        <v>602</v>
      </c>
      <c r="F140" s="1"/>
      <c r="G140" s="1">
        <v>689121</v>
      </c>
      <c r="H140" s="1">
        <v>12.75</v>
      </c>
    </row>
    <row r="141" spans="1:8" ht="21.75" customHeight="1">
      <c r="A141" s="1" t="str">
        <f>"1204470006638640"</f>
        <v>1204470006638640</v>
      </c>
      <c r="B141" s="1" t="s">
        <v>603</v>
      </c>
      <c r="C141" s="1" t="s">
        <v>604</v>
      </c>
      <c r="D141" s="1" t="s">
        <v>470</v>
      </c>
      <c r="E141" s="1"/>
      <c r="F141" s="1" t="s">
        <v>470</v>
      </c>
      <c r="G141" s="1">
        <v>689645</v>
      </c>
      <c r="H141" s="1">
        <v>141.75</v>
      </c>
    </row>
    <row r="142" spans="1:8" ht="21.75" customHeight="1">
      <c r="A142" s="1" t="str">
        <f>"IN30154931835828"</f>
        <v>IN30154931835828</v>
      </c>
      <c r="B142" s="1" t="s">
        <v>605</v>
      </c>
      <c r="C142" s="1" t="s">
        <v>606</v>
      </c>
      <c r="D142" s="1" t="s">
        <v>607</v>
      </c>
      <c r="E142" s="1" t="s">
        <v>608</v>
      </c>
      <c r="F142" s="1"/>
      <c r="G142" s="1">
        <v>690534</v>
      </c>
      <c r="H142" s="1">
        <v>806.25</v>
      </c>
    </row>
    <row r="143" spans="1:8" ht="21.75" customHeight="1">
      <c r="A143" s="1" t="str">
        <f>"IN30177416800175"</f>
        <v>IN30177416800175</v>
      </c>
      <c r="B143" s="1" t="s">
        <v>610</v>
      </c>
      <c r="C143" s="1" t="s">
        <v>611</v>
      </c>
      <c r="D143" s="1" t="s">
        <v>612</v>
      </c>
      <c r="E143" s="1" t="s">
        <v>613</v>
      </c>
      <c r="F143" s="1"/>
      <c r="G143" s="1">
        <v>691302</v>
      </c>
      <c r="H143" s="1">
        <v>67.5</v>
      </c>
    </row>
    <row r="144" spans="1:8" ht="21.75" customHeight="1">
      <c r="A144" s="1" t="str">
        <f>"1204470006701511"</f>
        <v>1204470006701511</v>
      </c>
      <c r="B144" s="1" t="s">
        <v>616</v>
      </c>
      <c r="C144" s="1" t="s">
        <v>617</v>
      </c>
      <c r="D144" s="1" t="s">
        <v>618</v>
      </c>
      <c r="E144" s="1"/>
      <c r="F144" s="1" t="s">
        <v>615</v>
      </c>
      <c r="G144" s="1">
        <v>695002</v>
      </c>
      <c r="H144" s="1">
        <v>0.75</v>
      </c>
    </row>
    <row r="145" spans="1:8" ht="21.75" customHeight="1">
      <c r="A145" s="1" t="str">
        <f>"1202980000327647"</f>
        <v>1202980000327647</v>
      </c>
      <c r="B145" s="1" t="s">
        <v>619</v>
      </c>
      <c r="C145" s="1" t="s">
        <v>620</v>
      </c>
      <c r="D145" s="1" t="s">
        <v>621</v>
      </c>
      <c r="E145" s="1" t="s">
        <v>622</v>
      </c>
      <c r="F145" s="1" t="s">
        <v>615</v>
      </c>
      <c r="G145" s="1">
        <v>695005</v>
      </c>
      <c r="H145" s="1">
        <v>75</v>
      </c>
    </row>
    <row r="146" spans="1:8" ht="21.75" customHeight="1">
      <c r="A146" s="1" t="str">
        <f>"IN30226913289583"</f>
        <v>IN30226913289583</v>
      </c>
      <c r="B146" s="1" t="s">
        <v>623</v>
      </c>
      <c r="C146" s="1" t="s">
        <v>624</v>
      </c>
      <c r="D146" s="1" t="s">
        <v>625</v>
      </c>
      <c r="E146" s="1" t="s">
        <v>509</v>
      </c>
      <c r="F146" s="1"/>
      <c r="G146" s="1">
        <v>695543</v>
      </c>
      <c r="H146" s="1">
        <v>3</v>
      </c>
    </row>
    <row r="147" spans="1:8" ht="21.75" customHeight="1">
      <c r="A147" s="1" t="str">
        <f>"1306170000005288"</f>
        <v>1306170000005288</v>
      </c>
      <c r="B147" s="1" t="s">
        <v>626</v>
      </c>
      <c r="C147" s="1" t="s">
        <v>627</v>
      </c>
      <c r="D147" s="1" t="s">
        <v>628</v>
      </c>
      <c r="E147" s="1"/>
      <c r="F147" s="1" t="s">
        <v>8</v>
      </c>
      <c r="G147" s="1">
        <v>700001</v>
      </c>
      <c r="H147" s="1">
        <v>375</v>
      </c>
    </row>
    <row r="148" spans="1:8" ht="21.75" customHeight="1">
      <c r="A148" s="1" t="str">
        <f>"1201090001383071"</f>
        <v>1201090001383071</v>
      </c>
      <c r="B148" s="1" t="s">
        <v>629</v>
      </c>
      <c r="C148" s="1" t="s">
        <v>630</v>
      </c>
      <c r="D148" s="1" t="s">
        <v>8</v>
      </c>
      <c r="E148" s="1" t="s">
        <v>8</v>
      </c>
      <c r="F148" s="1" t="s">
        <v>8</v>
      </c>
      <c r="G148" s="1">
        <v>700006</v>
      </c>
      <c r="H148" s="1">
        <v>0.75</v>
      </c>
    </row>
    <row r="149" spans="1:8" ht="21.75" customHeight="1">
      <c r="A149" s="1" t="str">
        <f>"IN30039417108545"</f>
        <v>IN30039417108545</v>
      </c>
      <c r="B149" s="1" t="s">
        <v>631</v>
      </c>
      <c r="C149" s="1" t="s">
        <v>632</v>
      </c>
      <c r="D149" s="1" t="s">
        <v>633</v>
      </c>
      <c r="E149" s="1" t="s">
        <v>634</v>
      </c>
      <c r="F149" s="1"/>
      <c r="G149" s="1">
        <v>700007</v>
      </c>
      <c r="H149" s="1">
        <v>1.5</v>
      </c>
    </row>
    <row r="150" spans="1:8" ht="21.75" customHeight="1">
      <c r="A150" s="1" t="str">
        <f>"1203320020575962"</f>
        <v>1203320020575962</v>
      </c>
      <c r="B150" s="1" t="s">
        <v>636</v>
      </c>
      <c r="C150" s="1" t="s">
        <v>637</v>
      </c>
      <c r="D150" s="1" t="s">
        <v>638</v>
      </c>
      <c r="E150" s="1" t="s">
        <v>639</v>
      </c>
      <c r="F150" s="1" t="s">
        <v>8</v>
      </c>
      <c r="G150" s="1">
        <v>700017</v>
      </c>
      <c r="H150" s="1">
        <v>22.5</v>
      </c>
    </row>
    <row r="151" spans="1:8" ht="21.75" customHeight="1">
      <c r="A151" s="1" t="str">
        <f>"IN30154950000470"</f>
        <v>IN30154950000470</v>
      </c>
      <c r="B151" s="1" t="s">
        <v>640</v>
      </c>
      <c r="C151" s="1" t="s">
        <v>641</v>
      </c>
      <c r="D151" s="1" t="s">
        <v>642</v>
      </c>
      <c r="E151" s="1" t="s">
        <v>8</v>
      </c>
      <c r="F151" s="1"/>
      <c r="G151" s="1">
        <v>700031</v>
      </c>
      <c r="H151" s="1">
        <v>37.5</v>
      </c>
    </row>
    <row r="152" spans="1:8" ht="21.75" customHeight="1">
      <c r="A152" s="1" t="str">
        <f>"IN30115127489348"</f>
        <v>IN30115127489348</v>
      </c>
      <c r="B152" s="1" t="s">
        <v>643</v>
      </c>
      <c r="C152" s="1" t="s">
        <v>644</v>
      </c>
      <c r="D152" s="1" t="s">
        <v>645</v>
      </c>
      <c r="E152" s="1" t="s">
        <v>646</v>
      </c>
      <c r="F152" s="1"/>
      <c r="G152" s="1">
        <v>700102</v>
      </c>
      <c r="H152" s="1">
        <v>150</v>
      </c>
    </row>
    <row r="153" spans="1:8" ht="21.75" customHeight="1">
      <c r="A153" s="1" t="str">
        <f>"1201090001225723"</f>
        <v>1201090001225723</v>
      </c>
      <c r="B153" s="1" t="s">
        <v>647</v>
      </c>
      <c r="C153" s="1" t="s">
        <v>648</v>
      </c>
      <c r="D153" s="1" t="s">
        <v>649</v>
      </c>
      <c r="E153" s="1" t="s">
        <v>650</v>
      </c>
      <c r="F153" s="1" t="s">
        <v>8</v>
      </c>
      <c r="G153" s="1">
        <v>700122</v>
      </c>
      <c r="H153" s="1">
        <v>3</v>
      </c>
    </row>
    <row r="154" spans="1:8" ht="21.75" customHeight="1">
      <c r="A154" s="1" t="str">
        <f>"IN30051319535445"</f>
        <v>IN30051319535445</v>
      </c>
      <c r="B154" s="1" t="s">
        <v>652</v>
      </c>
      <c r="C154" s="1" t="s">
        <v>653</v>
      </c>
      <c r="D154" s="1" t="s">
        <v>654</v>
      </c>
      <c r="E154" s="1" t="s">
        <v>655</v>
      </c>
      <c r="F154" s="1"/>
      <c r="G154" s="1">
        <v>713204</v>
      </c>
      <c r="H154" s="1">
        <v>1.5</v>
      </c>
    </row>
    <row r="155" spans="1:8" ht="21.75" customHeight="1">
      <c r="A155" s="1" t="str">
        <f>"IN30223611001282"</f>
        <v>IN30223611001282</v>
      </c>
      <c r="B155" s="1" t="s">
        <v>656</v>
      </c>
      <c r="C155" s="2">
        <v>45047</v>
      </c>
      <c r="D155" s="1" t="s">
        <v>657</v>
      </c>
      <c r="E155" s="1" t="s">
        <v>658</v>
      </c>
      <c r="F155" s="1"/>
      <c r="G155" s="1">
        <v>713204</v>
      </c>
      <c r="H155" s="1">
        <v>2.25</v>
      </c>
    </row>
    <row r="156" spans="1:8" ht="21.75" customHeight="1">
      <c r="A156" s="1" t="str">
        <f>"1202420000565721"</f>
        <v>1202420000565721</v>
      </c>
      <c r="B156" s="1" t="s">
        <v>660</v>
      </c>
      <c r="C156" s="1" t="s">
        <v>661</v>
      </c>
      <c r="D156" s="1" t="s">
        <v>662</v>
      </c>
      <c r="E156" s="1" t="s">
        <v>659</v>
      </c>
      <c r="F156" s="1" t="s">
        <v>663</v>
      </c>
      <c r="G156" s="1">
        <v>741235</v>
      </c>
      <c r="H156" s="1">
        <v>3</v>
      </c>
    </row>
    <row r="157" spans="1:8" ht="21.75" customHeight="1">
      <c r="A157" s="1" t="str">
        <f>"IN30051320080138"</f>
        <v>IN30051320080138</v>
      </c>
      <c r="B157" s="1" t="s">
        <v>665</v>
      </c>
      <c r="C157" s="1" t="s">
        <v>666</v>
      </c>
      <c r="D157" s="1" t="s">
        <v>667</v>
      </c>
      <c r="E157" s="1" t="s">
        <v>668</v>
      </c>
      <c r="F157" s="1"/>
      <c r="G157" s="1">
        <v>742225</v>
      </c>
      <c r="H157" s="1">
        <v>0.75</v>
      </c>
    </row>
    <row r="158" spans="1:8" ht="21.75" customHeight="1">
      <c r="A158" s="1" t="str">
        <f>"IN30226911568462"</f>
        <v>IN30226911568462</v>
      </c>
      <c r="B158" s="1" t="s">
        <v>670</v>
      </c>
      <c r="C158" s="1" t="s">
        <v>671</v>
      </c>
      <c r="D158" s="1" t="s">
        <v>672</v>
      </c>
      <c r="E158" s="1" t="s">
        <v>673</v>
      </c>
      <c r="F158" s="1"/>
      <c r="G158" s="1">
        <v>756001</v>
      </c>
      <c r="H158" s="1">
        <v>74.25</v>
      </c>
    </row>
    <row r="159" spans="1:8" ht="21.75" customHeight="1">
      <c r="A159" s="1" t="str">
        <f>"IN30154953030125"</f>
        <v>IN30154953030125</v>
      </c>
      <c r="B159" s="1" t="s">
        <v>674</v>
      </c>
      <c r="C159" s="1" t="s">
        <v>675</v>
      </c>
      <c r="D159" s="1" t="s">
        <v>676</v>
      </c>
      <c r="E159" s="1" t="s">
        <v>677</v>
      </c>
      <c r="F159" s="1"/>
      <c r="G159" s="1">
        <v>760001</v>
      </c>
      <c r="H159" s="1">
        <v>0.75</v>
      </c>
    </row>
    <row r="160" spans="1:8" ht="21.75" customHeight="1">
      <c r="A160" s="1" t="str">
        <f>"1201090003554661"</f>
        <v>1201090003554661</v>
      </c>
      <c r="B160" s="1" t="s">
        <v>678</v>
      </c>
      <c r="C160" s="1" t="s">
        <v>679</v>
      </c>
      <c r="D160" s="1" t="s">
        <v>680</v>
      </c>
      <c r="E160" s="1" t="s">
        <v>681</v>
      </c>
      <c r="F160" s="1" t="s">
        <v>682</v>
      </c>
      <c r="G160" s="1">
        <v>767039</v>
      </c>
      <c r="H160" s="1">
        <v>150</v>
      </c>
    </row>
    <row r="161" spans="1:8" ht="21.75" customHeight="1">
      <c r="A161" s="1" t="str">
        <f>"IN30115126902646"</f>
        <v>IN30115126902646</v>
      </c>
      <c r="B161" s="1" t="s">
        <v>684</v>
      </c>
      <c r="C161" s="1" t="s">
        <v>685</v>
      </c>
      <c r="D161" s="1" t="s">
        <v>686</v>
      </c>
      <c r="E161" s="1" t="s">
        <v>687</v>
      </c>
      <c r="F161" s="1"/>
      <c r="G161" s="1">
        <v>999999</v>
      </c>
      <c r="H161" s="1">
        <v>171.5</v>
      </c>
    </row>
    <row r="162" spans="1:8" ht="21.75" customHeight="1">
      <c r="A162" s="1" t="str">
        <f>"IN30023912355123"</f>
        <v>IN30023912355123</v>
      </c>
      <c r="B162" s="1" t="s">
        <v>688</v>
      </c>
      <c r="C162" s="1" t="s">
        <v>689</v>
      </c>
      <c r="D162" s="1" t="s">
        <v>690</v>
      </c>
      <c r="E162" s="1" t="s">
        <v>691</v>
      </c>
      <c r="F162" s="1"/>
      <c r="G162" s="1"/>
      <c r="H162" s="1">
        <v>891</v>
      </c>
    </row>
    <row r="163" spans="1:8" ht="21.75" customHeight="1">
      <c r="A163" s="1" t="str">
        <f>"IN30023912784712"</f>
        <v>IN30023912784712</v>
      </c>
      <c r="B163" s="1" t="s">
        <v>692</v>
      </c>
      <c r="C163" s="1" t="s">
        <v>693</v>
      </c>
      <c r="D163" s="1" t="s">
        <v>694</v>
      </c>
      <c r="E163" s="1" t="s">
        <v>695</v>
      </c>
      <c r="F163" s="1"/>
      <c r="G163" s="1">
        <v>1234</v>
      </c>
      <c r="H163" s="1">
        <v>4.25</v>
      </c>
    </row>
    <row r="164" spans="1:8" ht="21.75" customHeight="1">
      <c r="A164" s="1" t="str">
        <f>"IN30051317879733"</f>
        <v>IN30051317879733</v>
      </c>
      <c r="B164" s="1" t="s">
        <v>696</v>
      </c>
      <c r="C164" s="1" t="s">
        <v>697</v>
      </c>
      <c r="D164" s="1" t="s">
        <v>698</v>
      </c>
      <c r="E164" s="1" t="s">
        <v>699</v>
      </c>
      <c r="F164" s="1"/>
      <c r="G164" s="1">
        <v>111111</v>
      </c>
      <c r="H164" s="1">
        <v>178</v>
      </c>
    </row>
    <row r="165" spans="1:8" ht="21.75" customHeight="1">
      <c r="A165" s="1" t="str">
        <f>"IN30020610227855"</f>
        <v>IN30020610227855</v>
      </c>
      <c r="B165" s="1" t="s">
        <v>700</v>
      </c>
      <c r="C165" s="1">
        <v>8600</v>
      </c>
      <c r="D165" s="1" t="s">
        <v>701</v>
      </c>
      <c r="E165" s="1" t="s">
        <v>702</v>
      </c>
      <c r="F165" s="1"/>
      <c r="G165" s="1">
        <v>110007</v>
      </c>
      <c r="H165" s="1">
        <v>75</v>
      </c>
    </row>
    <row r="166" spans="1:8" ht="21.75" customHeight="1">
      <c r="A166" s="1" t="str">
        <f>"IN30178210071012"</f>
        <v>IN30178210071012</v>
      </c>
      <c r="B166" s="1" t="s">
        <v>703</v>
      </c>
      <c r="C166" s="1" t="s">
        <v>704</v>
      </c>
      <c r="D166" s="1" t="s">
        <v>705</v>
      </c>
      <c r="E166" s="1" t="s">
        <v>706</v>
      </c>
      <c r="F166" s="1"/>
      <c r="G166" s="1">
        <v>110015</v>
      </c>
      <c r="H166" s="1">
        <v>262.5</v>
      </c>
    </row>
    <row r="167" spans="1:8" ht="21.75" customHeight="1">
      <c r="A167" s="1" t="str">
        <f>"1204470007853259"</f>
        <v>1204470007853259</v>
      </c>
      <c r="B167" s="1" t="s">
        <v>707</v>
      </c>
      <c r="C167" s="1" t="s">
        <v>708</v>
      </c>
      <c r="D167" s="1" t="s">
        <v>709</v>
      </c>
      <c r="E167" s="1" t="s">
        <v>710</v>
      </c>
      <c r="F167" s="1" t="s">
        <v>70</v>
      </c>
      <c r="G167" s="1">
        <v>110092</v>
      </c>
      <c r="H167" s="1">
        <v>472</v>
      </c>
    </row>
    <row r="168" spans="1:8" ht="21.75" customHeight="1">
      <c r="A168" s="1" t="str">
        <f>"IN30023980259218"</f>
        <v>IN30023980259218</v>
      </c>
      <c r="B168" s="1" t="s">
        <v>711</v>
      </c>
      <c r="C168" s="1" t="s">
        <v>712</v>
      </c>
      <c r="D168" s="1" t="s">
        <v>713</v>
      </c>
      <c r="E168" s="1" t="s">
        <v>714</v>
      </c>
      <c r="F168" s="1"/>
      <c r="G168" s="1">
        <v>151001</v>
      </c>
      <c r="H168" s="1">
        <v>105.75</v>
      </c>
    </row>
    <row r="169" spans="1:8" ht="21.75" customHeight="1">
      <c r="A169" s="1" t="str">
        <f>"IN30383310294863"</f>
        <v>IN30383310294863</v>
      </c>
      <c r="B169" s="1" t="s">
        <v>715</v>
      </c>
      <c r="C169" s="1" t="s">
        <v>716</v>
      </c>
      <c r="D169" s="1" t="s">
        <v>717</v>
      </c>
      <c r="E169" s="1" t="s">
        <v>718</v>
      </c>
      <c r="F169" s="1"/>
      <c r="G169" s="1">
        <v>180001</v>
      </c>
      <c r="H169" s="1">
        <v>18.75</v>
      </c>
    </row>
    <row r="170" spans="1:8" ht="21.75" customHeight="1">
      <c r="A170" s="1" t="str">
        <f>"IN30254010006007"</f>
        <v>IN30254010006007</v>
      </c>
      <c r="B170" s="1" t="s">
        <v>719</v>
      </c>
      <c r="C170" s="1" t="s">
        <v>720</v>
      </c>
      <c r="D170" s="1" t="s">
        <v>721</v>
      </c>
      <c r="E170" s="1" t="s">
        <v>722</v>
      </c>
      <c r="F170" s="1"/>
      <c r="G170" s="1">
        <v>201012</v>
      </c>
      <c r="H170" s="1">
        <v>750</v>
      </c>
    </row>
    <row r="171" spans="1:8" ht="21.75" customHeight="1">
      <c r="A171" s="1" t="str">
        <f>"1201060001329069"</f>
        <v>1201060001329069</v>
      </c>
      <c r="B171" s="1" t="s">
        <v>724</v>
      </c>
      <c r="C171" s="1" t="s">
        <v>725</v>
      </c>
      <c r="D171" s="1" t="s">
        <v>726</v>
      </c>
      <c r="E171" s="1" t="s">
        <v>727</v>
      </c>
      <c r="F171" s="1" t="s">
        <v>723</v>
      </c>
      <c r="G171" s="1">
        <v>221001</v>
      </c>
      <c r="H171" s="1">
        <v>262.5</v>
      </c>
    </row>
    <row r="172" spans="1:8" ht="21.75" customHeight="1">
      <c r="A172" s="1" t="str">
        <f>"1304140003152891"</f>
        <v>1304140003152891</v>
      </c>
      <c r="B172" s="1" t="s">
        <v>729</v>
      </c>
      <c r="C172" s="1" t="s">
        <v>730</v>
      </c>
      <c r="D172" s="1" t="s">
        <v>731</v>
      </c>
      <c r="E172" s="1" t="s">
        <v>732</v>
      </c>
      <c r="F172" s="1" t="s">
        <v>130</v>
      </c>
      <c r="G172" s="1">
        <v>226012</v>
      </c>
      <c r="H172" s="1">
        <v>15</v>
      </c>
    </row>
    <row r="173" spans="1:8" ht="21.75" customHeight="1">
      <c r="A173" s="1" t="str">
        <f>"1304140001308684"</f>
        <v>1304140001308684</v>
      </c>
      <c r="B173" s="1" t="s">
        <v>734</v>
      </c>
      <c r="C173" s="1" t="s">
        <v>735</v>
      </c>
      <c r="D173" s="1" t="s">
        <v>736</v>
      </c>
      <c r="E173" s="1"/>
      <c r="F173" s="1" t="s">
        <v>733</v>
      </c>
      <c r="G173" s="1">
        <v>243001</v>
      </c>
      <c r="H173" s="1">
        <v>11.25</v>
      </c>
    </row>
    <row r="174" spans="1:8" ht="21.75" customHeight="1">
      <c r="A174" s="1" t="str">
        <f>"1204290000005533"</f>
        <v>1204290000005533</v>
      </c>
      <c r="B174" s="1" t="s">
        <v>738</v>
      </c>
      <c r="C174" s="1" t="s">
        <v>739</v>
      </c>
      <c r="D174" s="1" t="s">
        <v>740</v>
      </c>
      <c r="E174" s="1"/>
      <c r="F174" s="1" t="s">
        <v>737</v>
      </c>
      <c r="G174" s="1">
        <v>248001</v>
      </c>
      <c r="H174" s="1">
        <v>150</v>
      </c>
    </row>
    <row r="175" spans="1:8" ht="21.75" customHeight="1">
      <c r="A175" s="1" t="str">
        <f>"1201060400076104"</f>
        <v>1201060400076104</v>
      </c>
      <c r="B175" s="1" t="s">
        <v>741</v>
      </c>
      <c r="C175" s="1" t="s">
        <v>742</v>
      </c>
      <c r="D175" s="1" t="s">
        <v>743</v>
      </c>
      <c r="E175" s="1" t="s">
        <v>744</v>
      </c>
      <c r="F175" s="1" t="s">
        <v>737</v>
      </c>
      <c r="G175" s="1">
        <v>248001</v>
      </c>
      <c r="H175" s="1">
        <v>22.5</v>
      </c>
    </row>
    <row r="176" spans="1:8" ht="21.75" customHeight="1">
      <c r="A176" s="1" t="str">
        <f>"1206690000321483"</f>
        <v>1206690000321483</v>
      </c>
      <c r="B176" s="1" t="s">
        <v>746</v>
      </c>
      <c r="C176" s="1" t="s">
        <v>747</v>
      </c>
      <c r="D176" s="1" t="s">
        <v>748</v>
      </c>
      <c r="E176" s="1"/>
      <c r="F176" s="1" t="s">
        <v>745</v>
      </c>
      <c r="G176" s="1">
        <v>250002</v>
      </c>
      <c r="H176" s="1">
        <v>2.25</v>
      </c>
    </row>
    <row r="177" spans="1:8" ht="21.75" customHeight="1">
      <c r="A177" s="1" t="str">
        <f>"IN30155722258091"</f>
        <v>IN30155722258091</v>
      </c>
      <c r="B177" s="1" t="s">
        <v>749</v>
      </c>
      <c r="C177" s="1" t="s">
        <v>750</v>
      </c>
      <c r="D177" s="1" t="s">
        <v>751</v>
      </c>
      <c r="E177" s="1" t="s">
        <v>752</v>
      </c>
      <c r="F177" s="1"/>
      <c r="G177" s="1">
        <v>273006</v>
      </c>
      <c r="H177" s="1">
        <v>37.5</v>
      </c>
    </row>
    <row r="178" spans="1:8" ht="21.75" customHeight="1">
      <c r="A178" s="1" t="str">
        <f>"1203500001638535"</f>
        <v>1203500001638535</v>
      </c>
      <c r="B178" s="1" t="s">
        <v>755</v>
      </c>
      <c r="C178" s="1" t="s">
        <v>756</v>
      </c>
      <c r="D178" s="1" t="s">
        <v>757</v>
      </c>
      <c r="E178" s="1" t="s">
        <v>758</v>
      </c>
      <c r="F178" s="1" t="s">
        <v>150</v>
      </c>
      <c r="G178" s="1">
        <v>311001</v>
      </c>
      <c r="H178" s="1">
        <v>75</v>
      </c>
    </row>
    <row r="179" spans="1:8" ht="21.75" customHeight="1">
      <c r="A179" s="1" t="str">
        <f>"1203500001419324"</f>
        <v>1203500001419324</v>
      </c>
      <c r="B179" s="1" t="s">
        <v>759</v>
      </c>
      <c r="C179" s="1" t="s">
        <v>760</v>
      </c>
      <c r="D179" s="1" t="s">
        <v>761</v>
      </c>
      <c r="E179" s="1" t="s">
        <v>762</v>
      </c>
      <c r="F179" s="1" t="s">
        <v>160</v>
      </c>
      <c r="G179" s="1">
        <v>364002</v>
      </c>
      <c r="H179" s="1">
        <v>18.75</v>
      </c>
    </row>
    <row r="180" spans="1:8" ht="21.75" customHeight="1">
      <c r="A180" s="1" t="str">
        <f>"1203330000339237"</f>
        <v>1203330000339237</v>
      </c>
      <c r="B180" s="1" t="s">
        <v>764</v>
      </c>
      <c r="C180" s="1" t="s">
        <v>765</v>
      </c>
      <c r="D180" s="1" t="s">
        <v>766</v>
      </c>
      <c r="E180" s="1" t="s">
        <v>767</v>
      </c>
      <c r="F180" s="1" t="s">
        <v>763</v>
      </c>
      <c r="G180" s="1">
        <v>380001</v>
      </c>
      <c r="H180" s="1">
        <v>75</v>
      </c>
    </row>
    <row r="181" spans="1:8" ht="21.75" customHeight="1">
      <c r="A181" s="1" t="str">
        <f>"IN30127630701159"</f>
        <v>IN30127630701159</v>
      </c>
      <c r="B181" s="1" t="s">
        <v>768</v>
      </c>
      <c r="C181" s="1" t="s">
        <v>769</v>
      </c>
      <c r="D181" s="1" t="s">
        <v>770</v>
      </c>
      <c r="E181" s="1" t="s">
        <v>771</v>
      </c>
      <c r="F181" s="1"/>
      <c r="G181" s="1">
        <v>384001</v>
      </c>
      <c r="H181" s="1">
        <v>75</v>
      </c>
    </row>
    <row r="182" spans="1:8" ht="21.75" customHeight="1">
      <c r="A182" s="1" t="str">
        <f>"1204150000328734"</f>
        <v>1204150000328734</v>
      </c>
      <c r="B182" s="1" t="s">
        <v>773</v>
      </c>
      <c r="C182" s="1" t="s">
        <v>774</v>
      </c>
      <c r="D182" s="1" t="s">
        <v>775</v>
      </c>
      <c r="E182" s="1" t="s">
        <v>776</v>
      </c>
      <c r="F182" s="1" t="s">
        <v>777</v>
      </c>
      <c r="G182" s="1">
        <v>394335</v>
      </c>
      <c r="H182" s="1">
        <v>150</v>
      </c>
    </row>
    <row r="183" spans="1:8" ht="21.75" customHeight="1">
      <c r="A183" s="1" t="str">
        <f>"1203500001322771"</f>
        <v>1203500001322771</v>
      </c>
      <c r="B183" s="1" t="s">
        <v>779</v>
      </c>
      <c r="C183" s="1" t="s">
        <v>780</v>
      </c>
      <c r="D183" s="1" t="s">
        <v>781</v>
      </c>
      <c r="E183" s="1" t="s">
        <v>782</v>
      </c>
      <c r="F183" s="1" t="s">
        <v>782</v>
      </c>
      <c r="G183" s="1">
        <v>395007</v>
      </c>
      <c r="H183" s="1">
        <v>45</v>
      </c>
    </row>
    <row r="184" spans="1:8" ht="21.75" customHeight="1">
      <c r="A184" s="1" t="str">
        <f>"004216"</f>
        <v>004216</v>
      </c>
      <c r="B184" s="1" t="s">
        <v>784</v>
      </c>
      <c r="C184" s="1" t="s">
        <v>785</v>
      </c>
      <c r="D184" s="1" t="s">
        <v>786</v>
      </c>
      <c r="E184" s="1" t="s">
        <v>787</v>
      </c>
      <c r="F184" s="1" t="s">
        <v>178</v>
      </c>
      <c r="G184" s="1">
        <v>400022</v>
      </c>
      <c r="H184" s="1">
        <v>67</v>
      </c>
    </row>
    <row r="185" spans="1:8" ht="21.75" customHeight="1">
      <c r="A185" s="1" t="str">
        <f>"1201260000095847"</f>
        <v>1201260000095847</v>
      </c>
      <c r="B185" s="1" t="s">
        <v>788</v>
      </c>
      <c r="C185" s="1" t="s">
        <v>789</v>
      </c>
      <c r="D185" s="1" t="s">
        <v>790</v>
      </c>
      <c r="E185" s="1" t="s">
        <v>791</v>
      </c>
      <c r="F185" s="1" t="s">
        <v>178</v>
      </c>
      <c r="G185" s="1">
        <v>400027</v>
      </c>
      <c r="H185" s="1">
        <v>375</v>
      </c>
    </row>
    <row r="186" spans="1:8" ht="21.75" customHeight="1">
      <c r="A186" s="1" t="str">
        <f>"1601480000463652"</f>
        <v>1601480000463652</v>
      </c>
      <c r="B186" s="1" t="s">
        <v>794</v>
      </c>
      <c r="C186" s="1" t="s">
        <v>795</v>
      </c>
      <c r="D186" s="1" t="s">
        <v>796</v>
      </c>
      <c r="E186" s="1" t="s">
        <v>797</v>
      </c>
      <c r="F186" s="1" t="s">
        <v>178</v>
      </c>
      <c r="G186" s="1">
        <v>400063</v>
      </c>
      <c r="H186" s="1">
        <v>375</v>
      </c>
    </row>
    <row r="187" spans="1:8" ht="21.75" customHeight="1">
      <c r="A187" s="1" t="str">
        <f>"1203320000439638"</f>
        <v>1203320000439638</v>
      </c>
      <c r="B187" s="1" t="s">
        <v>798</v>
      </c>
      <c r="C187" s="1" t="s">
        <v>799</v>
      </c>
      <c r="D187" s="1" t="s">
        <v>800</v>
      </c>
      <c r="E187" s="1" t="s">
        <v>801</v>
      </c>
      <c r="F187" s="1" t="s">
        <v>178</v>
      </c>
      <c r="G187" s="1">
        <v>400064</v>
      </c>
      <c r="H187" s="1">
        <v>3.75</v>
      </c>
    </row>
    <row r="188" spans="1:8" ht="21.75" customHeight="1">
      <c r="A188" s="1" t="str">
        <f>"1201320000557932"</f>
        <v>1201320000557932</v>
      </c>
      <c r="B188" s="1" t="s">
        <v>802</v>
      </c>
      <c r="C188" s="1" t="s">
        <v>803</v>
      </c>
      <c r="D188" s="1" t="s">
        <v>804</v>
      </c>
      <c r="E188" s="1" t="s">
        <v>805</v>
      </c>
      <c r="F188" s="1" t="s">
        <v>178</v>
      </c>
      <c r="G188" s="1">
        <v>400070</v>
      </c>
      <c r="H188" s="1">
        <v>37.5</v>
      </c>
    </row>
    <row r="189" spans="1:8" ht="21.75" customHeight="1">
      <c r="A189" s="1" t="str">
        <f>"1201750000102348"</f>
        <v>1201750000102348</v>
      </c>
      <c r="B189" s="1" t="s">
        <v>806</v>
      </c>
      <c r="C189" s="1" t="s">
        <v>807</v>
      </c>
      <c r="D189" s="1" t="s">
        <v>808</v>
      </c>
      <c r="E189" s="1" t="s">
        <v>809</v>
      </c>
      <c r="F189" s="1" t="s">
        <v>178</v>
      </c>
      <c r="G189" s="1">
        <v>400080</v>
      </c>
      <c r="H189" s="1">
        <v>18.75</v>
      </c>
    </row>
    <row r="190" spans="1:8" ht="21.75" customHeight="1">
      <c r="A190" s="1" t="str">
        <f>"IN30045011731320"</f>
        <v>IN30045011731320</v>
      </c>
      <c r="B190" s="1" t="s">
        <v>810</v>
      </c>
      <c r="C190" s="1" t="s">
        <v>811</v>
      </c>
      <c r="D190" s="1" t="s">
        <v>812</v>
      </c>
      <c r="E190" s="1" t="s">
        <v>813</v>
      </c>
      <c r="F190" s="1"/>
      <c r="G190" s="1">
        <v>400099</v>
      </c>
      <c r="H190" s="1">
        <v>30</v>
      </c>
    </row>
    <row r="191" spans="1:8" ht="21.75" customHeight="1">
      <c r="A191" s="1" t="str">
        <f>"1302340000351030"</f>
        <v>1302340000351030</v>
      </c>
      <c r="B191" s="1" t="s">
        <v>814</v>
      </c>
      <c r="C191" s="1" t="s">
        <v>815</v>
      </c>
      <c r="D191" s="1" t="s">
        <v>816</v>
      </c>
      <c r="E191" s="1" t="s">
        <v>817</v>
      </c>
      <c r="F191" s="1" t="s">
        <v>178</v>
      </c>
      <c r="G191" s="1">
        <v>400103</v>
      </c>
      <c r="H191" s="1">
        <v>750</v>
      </c>
    </row>
    <row r="192" spans="1:8" ht="21.75" customHeight="1">
      <c r="A192" s="1" t="str">
        <f>"1203320001300220"</f>
        <v>1203320001300220</v>
      </c>
      <c r="B192" s="1" t="s">
        <v>818</v>
      </c>
      <c r="C192" s="1" t="s">
        <v>819</v>
      </c>
      <c r="D192" s="1" t="s">
        <v>820</v>
      </c>
      <c r="E192" s="1" t="s">
        <v>821</v>
      </c>
      <c r="F192" s="1" t="s">
        <v>793</v>
      </c>
      <c r="G192" s="1">
        <v>400705</v>
      </c>
      <c r="H192" s="1">
        <v>37.5</v>
      </c>
    </row>
    <row r="193" spans="1:8" ht="21.75" customHeight="1">
      <c r="A193" s="1" t="str">
        <f>"1202940000014780"</f>
        <v>1202940000014780</v>
      </c>
      <c r="B193" s="1" t="s">
        <v>822</v>
      </c>
      <c r="C193" s="1" t="s">
        <v>823</v>
      </c>
      <c r="D193" s="1" t="s">
        <v>824</v>
      </c>
      <c r="E193" s="1" t="s">
        <v>825</v>
      </c>
      <c r="F193" s="1" t="s">
        <v>178</v>
      </c>
      <c r="G193" s="1">
        <v>400709</v>
      </c>
      <c r="H193" s="1">
        <v>300</v>
      </c>
    </row>
    <row r="194" spans="1:8" ht="21.75" customHeight="1">
      <c r="A194" s="1" t="str">
        <f>"1201580000183933"</f>
        <v>1201580000183933</v>
      </c>
      <c r="B194" s="1" t="s">
        <v>826</v>
      </c>
      <c r="C194" s="1" t="s">
        <v>827</v>
      </c>
      <c r="D194" s="1" t="s">
        <v>828</v>
      </c>
      <c r="E194" s="1" t="s">
        <v>829</v>
      </c>
      <c r="F194" s="1" t="s">
        <v>231</v>
      </c>
      <c r="G194" s="1">
        <v>411032</v>
      </c>
      <c r="H194" s="1">
        <v>75</v>
      </c>
    </row>
    <row r="195" spans="1:8" ht="21.75" customHeight="1">
      <c r="A195" s="1" t="str">
        <f>"IN30177415405791"</f>
        <v>IN30177415405791</v>
      </c>
      <c r="B195" s="1" t="s">
        <v>831</v>
      </c>
      <c r="C195" s="1" t="s">
        <v>832</v>
      </c>
      <c r="D195" s="1" t="s">
        <v>833</v>
      </c>
      <c r="E195" s="1" t="s">
        <v>834</v>
      </c>
      <c r="F195" s="1"/>
      <c r="G195" s="1">
        <v>411036</v>
      </c>
      <c r="H195" s="1">
        <v>375</v>
      </c>
    </row>
    <row r="196" spans="1:8" ht="21.75" customHeight="1">
      <c r="A196" s="1" t="str">
        <f>"1203500001673971"</f>
        <v>1203500001673971</v>
      </c>
      <c r="B196" s="1" t="s">
        <v>836</v>
      </c>
      <c r="C196" s="1" t="s">
        <v>837</v>
      </c>
      <c r="D196" s="1" t="s">
        <v>838</v>
      </c>
      <c r="E196" s="1"/>
      <c r="F196" s="1" t="s">
        <v>835</v>
      </c>
      <c r="G196" s="1">
        <v>413507</v>
      </c>
      <c r="H196" s="1">
        <v>3</v>
      </c>
    </row>
    <row r="197" spans="1:8" ht="21.75" customHeight="1">
      <c r="A197" s="1" t="str">
        <f>"1202000000299199"</f>
        <v>1202000000299199</v>
      </c>
      <c r="B197" s="1" t="s">
        <v>841</v>
      </c>
      <c r="C197" s="1" t="s">
        <v>842</v>
      </c>
      <c r="D197" s="1" t="s">
        <v>843</v>
      </c>
      <c r="E197" s="1"/>
      <c r="F197" s="1" t="s">
        <v>840</v>
      </c>
      <c r="G197" s="1">
        <v>413703</v>
      </c>
      <c r="H197" s="1">
        <v>75</v>
      </c>
    </row>
    <row r="198" spans="1:8" ht="21.75" customHeight="1">
      <c r="A198" s="1" t="str">
        <f>"1302190000137721"</f>
        <v>1302190000137721</v>
      </c>
      <c r="B198" s="1" t="s">
        <v>844</v>
      </c>
      <c r="C198" s="1" t="s">
        <v>845</v>
      </c>
      <c r="D198" s="1" t="s">
        <v>846</v>
      </c>
      <c r="E198" s="1"/>
      <c r="F198" s="1" t="s">
        <v>840</v>
      </c>
      <c r="G198" s="1">
        <v>414001</v>
      </c>
      <c r="H198" s="1">
        <v>15</v>
      </c>
    </row>
    <row r="199" spans="1:8" ht="21.75" customHeight="1">
      <c r="A199" s="1" t="str">
        <f>"1302190000086437"</f>
        <v>1302190000086437</v>
      </c>
      <c r="B199" s="1" t="s">
        <v>847</v>
      </c>
      <c r="C199" s="1" t="s">
        <v>848</v>
      </c>
      <c r="D199" s="1" t="s">
        <v>849</v>
      </c>
      <c r="E199" s="1" t="s">
        <v>850</v>
      </c>
      <c r="F199" s="1" t="s">
        <v>851</v>
      </c>
      <c r="G199" s="1">
        <v>414102</v>
      </c>
      <c r="H199" s="1">
        <v>300</v>
      </c>
    </row>
    <row r="200" spans="1:8" ht="21.75" customHeight="1">
      <c r="A200" s="1" t="str">
        <f>"1203350002694626"</f>
        <v>1203350002694626</v>
      </c>
      <c r="B200" s="1" t="s">
        <v>853</v>
      </c>
      <c r="C200" s="1" t="s">
        <v>854</v>
      </c>
      <c r="D200" s="1" t="s">
        <v>855</v>
      </c>
      <c r="E200" s="1" t="s">
        <v>856</v>
      </c>
      <c r="F200" s="1" t="s">
        <v>852</v>
      </c>
      <c r="G200" s="1">
        <v>415124</v>
      </c>
      <c r="H200" s="1">
        <v>7.5</v>
      </c>
    </row>
    <row r="201" spans="1:8" ht="21.75" customHeight="1">
      <c r="A201" s="1" t="str">
        <f>"1203320005124379"</f>
        <v>1203320005124379</v>
      </c>
      <c r="B201" s="1" t="s">
        <v>858</v>
      </c>
      <c r="C201" s="1" t="s">
        <v>859</v>
      </c>
      <c r="D201" s="1" t="s">
        <v>860</v>
      </c>
      <c r="E201" s="1" t="s">
        <v>861</v>
      </c>
      <c r="F201" s="1" t="s">
        <v>222</v>
      </c>
      <c r="G201" s="1">
        <v>421306</v>
      </c>
      <c r="H201" s="1">
        <v>0.75</v>
      </c>
    </row>
    <row r="202" spans="1:8" ht="21.75" customHeight="1">
      <c r="A202" s="1" t="str">
        <f>"IN30307710653693"</f>
        <v>IN30307710653693</v>
      </c>
      <c r="B202" s="1" t="s">
        <v>862</v>
      </c>
      <c r="C202" s="1" t="s">
        <v>863</v>
      </c>
      <c r="D202" s="1" t="s">
        <v>864</v>
      </c>
      <c r="E202" s="1" t="s">
        <v>865</v>
      </c>
      <c r="F202" s="1"/>
      <c r="G202" s="1">
        <v>421502</v>
      </c>
      <c r="H202" s="1">
        <v>15</v>
      </c>
    </row>
    <row r="203" spans="1:8" ht="21.75" customHeight="1">
      <c r="A203" s="1" t="str">
        <f>"1302190000129345"</f>
        <v>1302190000129345</v>
      </c>
      <c r="B203" s="1" t="s">
        <v>867</v>
      </c>
      <c r="C203" s="1" t="s">
        <v>868</v>
      </c>
      <c r="D203" s="1" t="s">
        <v>869</v>
      </c>
      <c r="E203" s="1" t="s">
        <v>870</v>
      </c>
      <c r="F203" s="1" t="s">
        <v>866</v>
      </c>
      <c r="G203" s="1">
        <v>431602</v>
      </c>
      <c r="H203" s="1">
        <v>112.5</v>
      </c>
    </row>
    <row r="204" spans="1:8" ht="21.75" customHeight="1">
      <c r="A204" s="1" t="str">
        <f>"1201750000169057"</f>
        <v>1201750000169057</v>
      </c>
      <c r="B204" s="1" t="s">
        <v>871</v>
      </c>
      <c r="C204" s="1" t="s">
        <v>872</v>
      </c>
      <c r="D204" s="1" t="s">
        <v>873</v>
      </c>
      <c r="E204" s="1"/>
      <c r="F204" s="1" t="s">
        <v>261</v>
      </c>
      <c r="G204" s="1">
        <v>440008</v>
      </c>
      <c r="H204" s="1">
        <v>600</v>
      </c>
    </row>
    <row r="205" spans="1:8" ht="21.75" customHeight="1">
      <c r="A205" s="1" t="str">
        <f>"1205630000023015"</f>
        <v>1205630000023015</v>
      </c>
      <c r="B205" s="1" t="s">
        <v>874</v>
      </c>
      <c r="C205" s="1" t="s">
        <v>875</v>
      </c>
      <c r="D205" s="1" t="s">
        <v>876</v>
      </c>
      <c r="E205" s="1" t="s">
        <v>877</v>
      </c>
      <c r="F205" s="1" t="s">
        <v>261</v>
      </c>
      <c r="G205" s="1">
        <v>440010</v>
      </c>
      <c r="H205" s="1">
        <v>18.75</v>
      </c>
    </row>
    <row r="206" spans="1:8" ht="21.75" customHeight="1">
      <c r="A206" s="1" t="str">
        <f>"1202890000718837"</f>
        <v>1202890000718837</v>
      </c>
      <c r="B206" s="1" t="s">
        <v>879</v>
      </c>
      <c r="C206" s="1" t="s">
        <v>880</v>
      </c>
      <c r="D206" s="1" t="s">
        <v>881</v>
      </c>
      <c r="E206" s="1" t="s">
        <v>882</v>
      </c>
      <c r="F206" s="1" t="s">
        <v>878</v>
      </c>
      <c r="G206" s="1">
        <v>444001</v>
      </c>
      <c r="H206" s="1">
        <v>3</v>
      </c>
    </row>
    <row r="207" spans="1:8" ht="21.75" customHeight="1">
      <c r="A207" s="1" t="str">
        <f>"1203330000662662"</f>
        <v>1203330000662662</v>
      </c>
      <c r="B207" s="1" t="s">
        <v>884</v>
      </c>
      <c r="C207" s="1" t="s">
        <v>885</v>
      </c>
      <c r="D207" s="1"/>
      <c r="E207" s="1"/>
      <c r="F207" s="1" t="s">
        <v>883</v>
      </c>
      <c r="G207" s="1">
        <v>452001</v>
      </c>
      <c r="H207" s="1">
        <v>150</v>
      </c>
    </row>
    <row r="208" spans="1:8" ht="21.75" customHeight="1">
      <c r="A208" s="1" t="str">
        <f>"IN30383310318592"</f>
        <v>IN30383310318592</v>
      </c>
      <c r="B208" s="1" t="s">
        <v>886</v>
      </c>
      <c r="C208" s="1" t="s">
        <v>887</v>
      </c>
      <c r="D208" s="1" t="s">
        <v>888</v>
      </c>
      <c r="E208" s="1" t="s">
        <v>883</v>
      </c>
      <c r="F208" s="1"/>
      <c r="G208" s="1">
        <v>452009</v>
      </c>
      <c r="H208" s="1">
        <v>12.75</v>
      </c>
    </row>
    <row r="209" spans="1:8" ht="21.75" customHeight="1">
      <c r="A209" s="1" t="str">
        <f>"1203460000443394"</f>
        <v>1203460000443394</v>
      </c>
      <c r="B209" s="1" t="s">
        <v>889</v>
      </c>
      <c r="C209" s="1" t="s">
        <v>890</v>
      </c>
      <c r="D209" s="1" t="s">
        <v>891</v>
      </c>
      <c r="E209" s="1"/>
      <c r="F209" s="1" t="s">
        <v>892</v>
      </c>
      <c r="G209" s="1">
        <v>453441</v>
      </c>
      <c r="H209" s="1">
        <v>56.25</v>
      </c>
    </row>
    <row r="210" spans="1:8" ht="21.75" customHeight="1">
      <c r="A210" s="1" t="str">
        <f>"1204720012425311"</f>
        <v>1204720012425311</v>
      </c>
      <c r="B210" s="1" t="s">
        <v>894</v>
      </c>
      <c r="C210" s="1" t="s">
        <v>895</v>
      </c>
      <c r="D210" s="1" t="s">
        <v>896</v>
      </c>
      <c r="E210" s="1" t="s">
        <v>897</v>
      </c>
      <c r="F210" s="1" t="s">
        <v>893</v>
      </c>
      <c r="G210" s="1">
        <v>485005</v>
      </c>
      <c r="H210" s="1">
        <v>33.75</v>
      </c>
    </row>
    <row r="211" spans="1:8" ht="21.75" customHeight="1">
      <c r="A211" s="1" t="str">
        <f>"1201320000405842"</f>
        <v>1201320000405842</v>
      </c>
      <c r="B211" s="1" t="s">
        <v>898</v>
      </c>
      <c r="C211" s="1" t="s">
        <v>899</v>
      </c>
      <c r="D211" s="1" t="s">
        <v>900</v>
      </c>
      <c r="E211" s="1"/>
      <c r="F211" s="1" t="s">
        <v>281</v>
      </c>
      <c r="G211" s="1">
        <v>500010</v>
      </c>
      <c r="H211" s="1">
        <v>11.25</v>
      </c>
    </row>
    <row r="212" spans="1:8" ht="21.75" customHeight="1">
      <c r="A212" s="1" t="str">
        <f>"IN30039416426252"</f>
        <v>IN30039416426252</v>
      </c>
      <c r="B212" s="1" t="s">
        <v>901</v>
      </c>
      <c r="C212" s="3">
        <v>40554</v>
      </c>
      <c r="D212" s="1"/>
      <c r="E212" s="1" t="s">
        <v>902</v>
      </c>
      <c r="F212" s="1"/>
      <c r="G212" s="1">
        <v>515812</v>
      </c>
      <c r="H212" s="1">
        <v>11.25</v>
      </c>
    </row>
    <row r="213" spans="1:8" ht="21.75" customHeight="1">
      <c r="A213" s="1" t="str">
        <f>"004367"</f>
        <v>004367</v>
      </c>
      <c r="B213" s="1" t="s">
        <v>904</v>
      </c>
      <c r="C213" s="1" t="s">
        <v>905</v>
      </c>
      <c r="D213" s="1" t="s">
        <v>906</v>
      </c>
      <c r="E213" s="1" t="s">
        <v>907</v>
      </c>
      <c r="F213" s="1" t="s">
        <v>903</v>
      </c>
      <c r="G213" s="1">
        <v>520011</v>
      </c>
      <c r="H213" s="1">
        <v>75</v>
      </c>
    </row>
    <row r="214" spans="1:8" ht="21.75" customHeight="1">
      <c r="A214" s="1" t="str">
        <f>"IN30429512933446"</f>
        <v>IN30429512933446</v>
      </c>
      <c r="B214" s="1" t="s">
        <v>908</v>
      </c>
      <c r="C214" s="1" t="s">
        <v>909</v>
      </c>
      <c r="D214" s="1" t="s">
        <v>910</v>
      </c>
      <c r="E214" s="1" t="s">
        <v>911</v>
      </c>
      <c r="F214" s="1"/>
      <c r="G214" s="1">
        <v>522202</v>
      </c>
      <c r="H214" s="1">
        <v>1.5</v>
      </c>
    </row>
    <row r="215" spans="1:8" ht="21.75" customHeight="1">
      <c r="A215" s="1" t="str">
        <f>"IN30220111013978"</f>
        <v>IN30220111013978</v>
      </c>
      <c r="B215" s="1" t="s">
        <v>913</v>
      </c>
      <c r="C215" s="1" t="s">
        <v>914</v>
      </c>
      <c r="D215" s="1" t="s">
        <v>915</v>
      </c>
      <c r="E215" s="1" t="s">
        <v>916</v>
      </c>
      <c r="F215" s="1"/>
      <c r="G215" s="1">
        <v>530001</v>
      </c>
      <c r="H215" s="1">
        <v>16.5</v>
      </c>
    </row>
    <row r="216" spans="1:8" ht="21.75" customHeight="1">
      <c r="A216" s="1" t="str">
        <f>"IN30135620273460"</f>
        <v>IN30135620273460</v>
      </c>
      <c r="B216" s="1" t="s">
        <v>918</v>
      </c>
      <c r="C216" s="1" t="s">
        <v>919</v>
      </c>
      <c r="D216" s="1" t="s">
        <v>920</v>
      </c>
      <c r="E216" s="1" t="s">
        <v>921</v>
      </c>
      <c r="F216" s="1"/>
      <c r="G216" s="1">
        <v>560038</v>
      </c>
      <c r="H216" s="1">
        <v>0.75</v>
      </c>
    </row>
    <row r="217" spans="1:8" ht="21.75" customHeight="1">
      <c r="A217" s="1" t="str">
        <f>"IN30214810294330"</f>
        <v>IN30214810294330</v>
      </c>
      <c r="B217" s="1" t="s">
        <v>922</v>
      </c>
      <c r="C217" s="1" t="s">
        <v>923</v>
      </c>
      <c r="D217" s="1" t="s">
        <v>924</v>
      </c>
      <c r="E217" s="1" t="s">
        <v>925</v>
      </c>
      <c r="F217" s="1"/>
      <c r="G217" s="1">
        <v>560058</v>
      </c>
      <c r="H217" s="1">
        <v>150</v>
      </c>
    </row>
    <row r="218" spans="1:8" ht="21.75" customHeight="1">
      <c r="A218" s="1" t="str">
        <f>"IN30192630255867"</f>
        <v>IN30192630255867</v>
      </c>
      <c r="B218" s="1" t="s">
        <v>926</v>
      </c>
      <c r="C218" s="1" t="s">
        <v>927</v>
      </c>
      <c r="D218" s="1" t="s">
        <v>928</v>
      </c>
      <c r="E218" s="1" t="s">
        <v>929</v>
      </c>
      <c r="F218" s="1"/>
      <c r="G218" s="1">
        <v>560076</v>
      </c>
      <c r="H218" s="1">
        <v>3.75</v>
      </c>
    </row>
    <row r="219" spans="1:8" ht="21.75" customHeight="1">
      <c r="A219" s="1" t="str">
        <f>"1207650000115622"</f>
        <v>1207650000115622</v>
      </c>
      <c r="B219" s="1" t="s">
        <v>930</v>
      </c>
      <c r="C219" s="1" t="s">
        <v>931</v>
      </c>
      <c r="D219" s="1" t="s">
        <v>932</v>
      </c>
      <c r="E219" s="1" t="s">
        <v>933</v>
      </c>
      <c r="F219" s="1" t="s">
        <v>28</v>
      </c>
      <c r="G219" s="1">
        <v>560097</v>
      </c>
      <c r="H219" s="1">
        <v>30</v>
      </c>
    </row>
    <row r="220" spans="1:8" ht="21.75" customHeight="1">
      <c r="A220" s="1" t="str">
        <f>"IN30611412721174"</f>
        <v>IN30611412721174</v>
      </c>
      <c r="B220" s="1" t="s">
        <v>934</v>
      </c>
      <c r="C220" s="1" t="s">
        <v>935</v>
      </c>
      <c r="D220" s="1" t="s">
        <v>936</v>
      </c>
      <c r="E220" s="1" t="s">
        <v>937</v>
      </c>
      <c r="F220" s="1"/>
      <c r="G220" s="1">
        <v>571440</v>
      </c>
      <c r="H220" s="1">
        <v>11.25</v>
      </c>
    </row>
    <row r="221" spans="1:8" ht="21.75" customHeight="1">
      <c r="A221" s="1" t="str">
        <f>"1203500001214037"</f>
        <v>1203500001214037</v>
      </c>
      <c r="B221" s="1" t="s">
        <v>938</v>
      </c>
      <c r="C221" s="1" t="s">
        <v>939</v>
      </c>
      <c r="D221" s="1" t="s">
        <v>940</v>
      </c>
      <c r="E221" s="1" t="s">
        <v>941</v>
      </c>
      <c r="F221" s="1" t="s">
        <v>942</v>
      </c>
      <c r="G221" s="1">
        <v>576247</v>
      </c>
      <c r="H221" s="1">
        <v>41.25</v>
      </c>
    </row>
    <row r="222" spans="1:8" ht="21.75" customHeight="1">
      <c r="A222" s="1" t="str">
        <f>"IN30260310226194"</f>
        <v>IN30260310226194</v>
      </c>
      <c r="B222" s="1" t="s">
        <v>943</v>
      </c>
      <c r="C222" s="1" t="s">
        <v>944</v>
      </c>
      <c r="D222" s="1" t="s">
        <v>945</v>
      </c>
      <c r="E222" s="1" t="s">
        <v>946</v>
      </c>
      <c r="F222" s="1"/>
      <c r="G222" s="1">
        <v>577139</v>
      </c>
      <c r="H222" s="1">
        <v>23.25</v>
      </c>
    </row>
    <row r="223" spans="1:8" ht="21.75" customHeight="1">
      <c r="A223" s="1" t="str">
        <f>"1201320001520445"</f>
        <v>1201320001520445</v>
      </c>
      <c r="B223" s="1" t="s">
        <v>947</v>
      </c>
      <c r="C223" s="1" t="s">
        <v>948</v>
      </c>
      <c r="D223" s="1" t="s">
        <v>949</v>
      </c>
      <c r="E223" s="1" t="s">
        <v>950</v>
      </c>
      <c r="F223" s="1" t="s">
        <v>950</v>
      </c>
      <c r="G223" s="1">
        <v>587314</v>
      </c>
      <c r="H223" s="1">
        <v>30</v>
      </c>
    </row>
    <row r="224" spans="1:8" ht="21.75" customHeight="1">
      <c r="A224" s="1" t="str">
        <f>"IN30163742118737"</f>
        <v>IN30163742118737</v>
      </c>
      <c r="B224" s="1" t="s">
        <v>951</v>
      </c>
      <c r="C224" s="1" t="s">
        <v>952</v>
      </c>
      <c r="D224" s="1" t="s">
        <v>953</v>
      </c>
      <c r="E224" s="1" t="s">
        <v>954</v>
      </c>
      <c r="F224" s="1"/>
      <c r="G224" s="1">
        <v>600064</v>
      </c>
      <c r="H224" s="1">
        <v>2.25</v>
      </c>
    </row>
    <row r="225" spans="1:8" ht="21.75" customHeight="1">
      <c r="A225" s="1" t="str">
        <f>"1203500001081951"</f>
        <v>1203500001081951</v>
      </c>
      <c r="B225" s="1" t="s">
        <v>956</v>
      </c>
      <c r="C225" s="1" t="s">
        <v>957</v>
      </c>
      <c r="D225" s="1" t="s">
        <v>958</v>
      </c>
      <c r="E225" s="1"/>
      <c r="F225" s="1" t="s">
        <v>955</v>
      </c>
      <c r="G225" s="1">
        <v>605757</v>
      </c>
      <c r="H225" s="1">
        <v>187.5</v>
      </c>
    </row>
    <row r="226" spans="1:8" ht="21.75" customHeight="1">
      <c r="A226" s="1" t="str">
        <f>"IN30021413509850"</f>
        <v>IN30021413509850</v>
      </c>
      <c r="B226" s="1" t="s">
        <v>959</v>
      </c>
      <c r="C226" s="1" t="s">
        <v>960</v>
      </c>
      <c r="D226" s="1" t="s">
        <v>961</v>
      </c>
      <c r="E226" s="1" t="s">
        <v>962</v>
      </c>
      <c r="F226" s="1"/>
      <c r="G226" s="1">
        <v>607803</v>
      </c>
      <c r="H226" s="1">
        <v>54.75</v>
      </c>
    </row>
    <row r="227" spans="1:8" ht="21.75" customHeight="1">
      <c r="A227" s="1" t="str">
        <f>"1202770000125810"</f>
        <v>1202770000125810</v>
      </c>
      <c r="B227" s="1" t="s">
        <v>964</v>
      </c>
      <c r="C227" s="1" t="s">
        <v>965</v>
      </c>
      <c r="D227" s="1" t="s">
        <v>966</v>
      </c>
      <c r="E227" s="1" t="s">
        <v>967</v>
      </c>
      <c r="F227" s="1" t="s">
        <v>967</v>
      </c>
      <c r="G227" s="1">
        <v>612301</v>
      </c>
      <c r="H227" s="1">
        <v>0.75</v>
      </c>
    </row>
    <row r="228" spans="1:8" ht="21.75" customHeight="1">
      <c r="A228" s="1" t="str">
        <f>"IN30023980212119"</f>
        <v>IN30023980212119</v>
      </c>
      <c r="B228" s="1" t="s">
        <v>968</v>
      </c>
      <c r="C228" s="1" t="s">
        <v>969</v>
      </c>
      <c r="D228" s="1" t="s">
        <v>970</v>
      </c>
      <c r="E228" s="1" t="s">
        <v>971</v>
      </c>
      <c r="F228" s="1"/>
      <c r="G228" s="1">
        <v>638012</v>
      </c>
      <c r="H228" s="1">
        <v>3</v>
      </c>
    </row>
    <row r="229" spans="1:8" ht="21.75" customHeight="1">
      <c r="A229" s="1" t="str">
        <f>"IN30023980263469"</f>
        <v>IN30023980263469</v>
      </c>
      <c r="B229" s="1" t="s">
        <v>972</v>
      </c>
      <c r="C229" s="1" t="s">
        <v>973</v>
      </c>
      <c r="D229" s="1" t="s">
        <v>974</v>
      </c>
      <c r="E229" s="1" t="s">
        <v>975</v>
      </c>
      <c r="F229" s="1"/>
      <c r="G229" s="1">
        <v>641006</v>
      </c>
      <c r="H229" s="1">
        <v>15</v>
      </c>
    </row>
    <row r="230" spans="1:8" ht="21.75" customHeight="1">
      <c r="A230" s="1" t="str">
        <f>"IN30163742056643"</f>
        <v>IN30163742056643</v>
      </c>
      <c r="B230" s="1" t="s">
        <v>976</v>
      </c>
      <c r="C230" s="1" t="s">
        <v>977</v>
      </c>
      <c r="D230" s="1" t="s">
        <v>978</v>
      </c>
      <c r="E230" s="1" t="s">
        <v>979</v>
      </c>
      <c r="F230" s="1"/>
      <c r="G230" s="1">
        <v>641045</v>
      </c>
      <c r="H230" s="1">
        <v>75</v>
      </c>
    </row>
    <row r="231" spans="1:8" ht="21.75" customHeight="1">
      <c r="A231" s="1" t="str">
        <f>"1204890000560903"</f>
        <v>1204890000560903</v>
      </c>
      <c r="B231" s="1" t="s">
        <v>981</v>
      </c>
      <c r="C231" s="1" t="s">
        <v>982</v>
      </c>
      <c r="D231" s="1" t="s">
        <v>983</v>
      </c>
      <c r="E231" s="1" t="s">
        <v>984</v>
      </c>
      <c r="F231" s="1" t="s">
        <v>980</v>
      </c>
      <c r="G231" s="1">
        <v>670731</v>
      </c>
      <c r="H231" s="1">
        <v>562.5</v>
      </c>
    </row>
    <row r="232" spans="1:8" ht="21.75" customHeight="1">
      <c r="A232" s="1" t="str">
        <f>"1203320006156888"</f>
        <v>1203320006156888</v>
      </c>
      <c r="B232" s="1" t="s">
        <v>985</v>
      </c>
      <c r="C232" s="1" t="s">
        <v>986</v>
      </c>
      <c r="D232" s="1" t="s">
        <v>987</v>
      </c>
      <c r="E232" s="1" t="s">
        <v>988</v>
      </c>
      <c r="F232" s="1" t="s">
        <v>462</v>
      </c>
      <c r="G232" s="1">
        <v>678506</v>
      </c>
      <c r="H232" s="1">
        <v>560.25</v>
      </c>
    </row>
    <row r="233" spans="1:8" ht="21.75" customHeight="1">
      <c r="A233" s="1" t="str">
        <f>"1204760000168151"</f>
        <v>1204760000168151</v>
      </c>
      <c r="B233" s="1" t="s">
        <v>989</v>
      </c>
      <c r="C233" s="1" t="s">
        <v>990</v>
      </c>
      <c r="D233" s="1" t="s">
        <v>991</v>
      </c>
      <c r="E233" s="1" t="s">
        <v>992</v>
      </c>
      <c r="F233" s="1" t="s">
        <v>42</v>
      </c>
      <c r="G233" s="1">
        <v>680001</v>
      </c>
      <c r="H233" s="1">
        <v>153.75</v>
      </c>
    </row>
    <row r="234" spans="1:8" ht="21.75" customHeight="1">
      <c r="A234" s="1" t="str">
        <f>"1301440002381735"</f>
        <v>1301440002381735</v>
      </c>
      <c r="B234" s="1" t="s">
        <v>993</v>
      </c>
      <c r="C234" s="1" t="s">
        <v>994</v>
      </c>
      <c r="D234" s="1" t="s">
        <v>995</v>
      </c>
      <c r="E234" s="1" t="s">
        <v>996</v>
      </c>
      <c r="F234" s="1" t="s">
        <v>42</v>
      </c>
      <c r="G234" s="1">
        <v>680005</v>
      </c>
      <c r="H234" s="1">
        <v>5.75</v>
      </c>
    </row>
    <row r="235" spans="1:8" ht="21.75" customHeight="1">
      <c r="A235" s="1" t="str">
        <f>"1204760000122148"</f>
        <v>1204760000122148</v>
      </c>
      <c r="B235" s="1" t="s">
        <v>997</v>
      </c>
      <c r="C235" s="1" t="s">
        <v>998</v>
      </c>
      <c r="D235" s="1" t="s">
        <v>999</v>
      </c>
      <c r="E235" s="1" t="s">
        <v>1000</v>
      </c>
      <c r="F235" s="1" t="s">
        <v>42</v>
      </c>
      <c r="G235" s="1">
        <v>680006</v>
      </c>
      <c r="H235" s="1">
        <v>84</v>
      </c>
    </row>
    <row r="236" spans="1:8" ht="21.75" customHeight="1">
      <c r="A236" s="1" t="str">
        <f>"1204760000219370"</f>
        <v>1204760000219370</v>
      </c>
      <c r="B236" s="1" t="s">
        <v>1001</v>
      </c>
      <c r="C236" s="1" t="s">
        <v>1002</v>
      </c>
      <c r="D236" s="1" t="s">
        <v>1003</v>
      </c>
      <c r="E236" s="1" t="s">
        <v>1004</v>
      </c>
      <c r="F236" s="1" t="s">
        <v>42</v>
      </c>
      <c r="G236" s="1">
        <v>680012</v>
      </c>
      <c r="H236" s="1">
        <v>150</v>
      </c>
    </row>
    <row r="237" spans="1:8" ht="21.75" customHeight="1">
      <c r="A237" s="1" t="str">
        <f>"1204760000132101"</f>
        <v>1204760000132101</v>
      </c>
      <c r="B237" s="1" t="s">
        <v>1005</v>
      </c>
      <c r="C237" s="1" t="s">
        <v>1006</v>
      </c>
      <c r="D237" s="1" t="s">
        <v>1007</v>
      </c>
      <c r="E237" s="1" t="s">
        <v>1008</v>
      </c>
      <c r="F237" s="1" t="s">
        <v>42</v>
      </c>
      <c r="G237" s="1">
        <v>680016</v>
      </c>
      <c r="H237" s="1">
        <v>3</v>
      </c>
    </row>
    <row r="238" spans="1:8" ht="21.75" customHeight="1">
      <c r="A238" s="1" t="str">
        <f>"1202980000110181"</f>
        <v>1202980000110181</v>
      </c>
      <c r="B238" s="1" t="s">
        <v>1009</v>
      </c>
      <c r="C238" s="1" t="s">
        <v>1010</v>
      </c>
      <c r="D238" s="1" t="s">
        <v>1011</v>
      </c>
      <c r="E238" s="1"/>
      <c r="F238" s="1" t="s">
        <v>42</v>
      </c>
      <c r="G238" s="1">
        <v>680306</v>
      </c>
      <c r="H238" s="1">
        <v>6</v>
      </c>
    </row>
    <row r="239" spans="1:8" ht="21.75" customHeight="1">
      <c r="A239" s="1" t="str">
        <f>"1204760000046911"</f>
        <v>1204760000046911</v>
      </c>
      <c r="B239" s="1" t="s">
        <v>1012</v>
      </c>
      <c r="C239" s="1" t="s">
        <v>1013</v>
      </c>
      <c r="D239" s="1" t="s">
        <v>1014</v>
      </c>
      <c r="E239" s="1"/>
      <c r="F239" s="1" t="s">
        <v>42</v>
      </c>
      <c r="G239" s="1">
        <v>680306</v>
      </c>
      <c r="H239" s="1">
        <v>3.75</v>
      </c>
    </row>
    <row r="240" spans="1:8" ht="21.75" customHeight="1">
      <c r="A240" s="1" t="str">
        <f>"002681"</f>
        <v>002681</v>
      </c>
      <c r="B240" s="1" t="s">
        <v>1015</v>
      </c>
      <c r="C240" s="1" t="s">
        <v>1016</v>
      </c>
      <c r="D240" s="1" t="s">
        <v>1017</v>
      </c>
      <c r="E240" s="1" t="s">
        <v>1018</v>
      </c>
      <c r="F240" s="1" t="s">
        <v>37</v>
      </c>
      <c r="G240" s="1">
        <v>680641</v>
      </c>
      <c r="H240" s="1">
        <v>2700</v>
      </c>
    </row>
    <row r="241" spans="1:8" ht="21.75" customHeight="1">
      <c r="A241" s="1" t="str">
        <f>"1203000000345286"</f>
        <v>1203000000345286</v>
      </c>
      <c r="B241" s="1" t="s">
        <v>1019</v>
      </c>
      <c r="C241" s="1" t="s">
        <v>1020</v>
      </c>
      <c r="D241" s="1" t="s">
        <v>1021</v>
      </c>
      <c r="E241" s="1" t="s">
        <v>1022</v>
      </c>
      <c r="F241" s="1" t="s">
        <v>52</v>
      </c>
      <c r="G241" s="1">
        <v>682017</v>
      </c>
      <c r="H241" s="1">
        <v>68.25</v>
      </c>
    </row>
    <row r="242" spans="1:8" ht="21.75" customHeight="1">
      <c r="A242" s="1" t="str">
        <f>"1206690000591644"</f>
        <v>1206690000591644</v>
      </c>
      <c r="B242" s="1" t="s">
        <v>1023</v>
      </c>
      <c r="C242" s="1" t="s">
        <v>1024</v>
      </c>
      <c r="D242" s="1" t="s">
        <v>1025</v>
      </c>
      <c r="E242" s="1" t="s">
        <v>1026</v>
      </c>
      <c r="F242" s="1" t="s">
        <v>54</v>
      </c>
      <c r="G242" s="1">
        <v>682317</v>
      </c>
      <c r="H242" s="1">
        <v>56.25</v>
      </c>
    </row>
    <row r="243" spans="1:8" ht="21.75" customHeight="1">
      <c r="A243" s="1" t="str">
        <f>"1205670000417100"</f>
        <v>1205670000417100</v>
      </c>
      <c r="B243" s="1" t="s">
        <v>1027</v>
      </c>
      <c r="C243" s="1" t="s">
        <v>1028</v>
      </c>
      <c r="D243" s="1"/>
      <c r="E243" s="1" t="s">
        <v>1029</v>
      </c>
      <c r="F243" s="1" t="s">
        <v>54</v>
      </c>
      <c r="G243" s="1">
        <v>683594</v>
      </c>
      <c r="H243" s="1">
        <v>11.25</v>
      </c>
    </row>
    <row r="244" spans="1:8" ht="21.75" customHeight="1">
      <c r="A244" s="1" t="str">
        <f>"IN30021413771025"</f>
        <v>IN30021413771025</v>
      </c>
      <c r="B244" s="1" t="s">
        <v>1031</v>
      </c>
      <c r="C244" s="1" t="s">
        <v>1032</v>
      </c>
      <c r="D244" s="1" t="s">
        <v>1033</v>
      </c>
      <c r="E244" s="1" t="s">
        <v>1034</v>
      </c>
      <c r="F244" s="1"/>
      <c r="G244" s="1">
        <v>686001</v>
      </c>
      <c r="H244" s="1">
        <v>84</v>
      </c>
    </row>
    <row r="245" spans="1:8" ht="21.75" customHeight="1">
      <c r="A245" s="1" t="str">
        <f>"1204720014794711"</f>
        <v>1204720014794711</v>
      </c>
      <c r="B245" s="1" t="s">
        <v>1035</v>
      </c>
      <c r="C245" s="1" t="s">
        <v>1036</v>
      </c>
      <c r="D245" s="1" t="s">
        <v>1037</v>
      </c>
      <c r="E245" s="1" t="s">
        <v>1038</v>
      </c>
      <c r="F245" s="1" t="s">
        <v>59</v>
      </c>
      <c r="G245" s="1">
        <v>686504</v>
      </c>
      <c r="H245" s="1">
        <v>3</v>
      </c>
    </row>
    <row r="246" spans="1:8" ht="21.75" customHeight="1">
      <c r="A246" s="1" t="str">
        <f>"1304140005913136"</f>
        <v>1304140005913136</v>
      </c>
      <c r="B246" s="1" t="s">
        <v>1039</v>
      </c>
      <c r="C246" s="1" t="s">
        <v>1040</v>
      </c>
      <c r="D246" s="1" t="s">
        <v>1041</v>
      </c>
      <c r="E246" s="1"/>
      <c r="F246" s="1" t="s">
        <v>42</v>
      </c>
      <c r="G246" s="1">
        <v>686611</v>
      </c>
      <c r="H246" s="1">
        <v>18.75</v>
      </c>
    </row>
    <row r="247" spans="1:8" ht="21.75" customHeight="1">
      <c r="A247" s="1" t="str">
        <f>"IN30177410456510"</f>
        <v>IN30177410456510</v>
      </c>
      <c r="B247" s="1" t="s">
        <v>1043</v>
      </c>
      <c r="C247" s="1" t="s">
        <v>1044</v>
      </c>
      <c r="D247" s="1" t="s">
        <v>1045</v>
      </c>
      <c r="E247" s="1" t="s">
        <v>1046</v>
      </c>
      <c r="F247" s="1"/>
      <c r="G247" s="1">
        <v>686613</v>
      </c>
      <c r="H247" s="1">
        <v>2.25</v>
      </c>
    </row>
    <row r="248" spans="1:8" ht="21.75" customHeight="1">
      <c r="A248" s="1" t="str">
        <f>"IN30334010027893"</f>
        <v>IN30334010027893</v>
      </c>
      <c r="B248" s="1" t="s">
        <v>1047</v>
      </c>
      <c r="C248" s="1" t="s">
        <v>1048</v>
      </c>
      <c r="D248" s="1" t="s">
        <v>1049</v>
      </c>
      <c r="E248" s="1" t="s">
        <v>1050</v>
      </c>
      <c r="F248" s="1"/>
      <c r="G248" s="1">
        <v>695020</v>
      </c>
      <c r="H248" s="1">
        <v>18.75</v>
      </c>
    </row>
    <row r="249" spans="1:8" ht="21.75" customHeight="1">
      <c r="A249" s="1" t="str">
        <f>"IN30023912695359"</f>
        <v>IN30023912695359</v>
      </c>
      <c r="B249" s="1" t="s">
        <v>1051</v>
      </c>
      <c r="C249" s="1" t="s">
        <v>1052</v>
      </c>
      <c r="D249" s="1" t="s">
        <v>1053</v>
      </c>
      <c r="E249" s="1" t="s">
        <v>1054</v>
      </c>
      <c r="F249" s="1"/>
      <c r="G249" s="1">
        <v>695040</v>
      </c>
      <c r="H249" s="1">
        <v>7.5</v>
      </c>
    </row>
    <row r="250" spans="1:8" ht="21.75" customHeight="1">
      <c r="A250" s="1" t="str">
        <f>"IN30125028246436"</f>
        <v>IN30125028246436</v>
      </c>
      <c r="B250" s="1" t="s">
        <v>1055</v>
      </c>
      <c r="C250" s="1" t="s">
        <v>1056</v>
      </c>
      <c r="D250" s="1"/>
      <c r="E250" s="1" t="s">
        <v>1057</v>
      </c>
      <c r="F250" s="1"/>
      <c r="G250" s="1">
        <v>700014</v>
      </c>
      <c r="H250" s="1">
        <v>7.5</v>
      </c>
    </row>
    <row r="251" spans="1:8" ht="21.75" customHeight="1">
      <c r="A251" s="1" t="str">
        <f>"IN30290246829250"</f>
        <v>IN30290246829250</v>
      </c>
      <c r="B251" s="1" t="s">
        <v>1058</v>
      </c>
      <c r="C251" s="1" t="s">
        <v>1059</v>
      </c>
      <c r="D251" s="1" t="s">
        <v>1060</v>
      </c>
      <c r="E251" s="1" t="s">
        <v>1061</v>
      </c>
      <c r="F251" s="1"/>
      <c r="G251" s="1">
        <v>700035</v>
      </c>
      <c r="H251" s="1">
        <v>0.75</v>
      </c>
    </row>
    <row r="252" spans="1:8" ht="21.75" customHeight="1">
      <c r="A252" s="1" t="str">
        <f>"1204630000109509"</f>
        <v>1204630000109509</v>
      </c>
      <c r="B252" s="1" t="s">
        <v>1062</v>
      </c>
      <c r="C252" s="1" t="s">
        <v>1063</v>
      </c>
      <c r="D252" s="1" t="s">
        <v>1064</v>
      </c>
      <c r="E252" s="1" t="s">
        <v>1065</v>
      </c>
      <c r="F252" s="1" t="s">
        <v>8</v>
      </c>
      <c r="G252" s="1">
        <v>700046</v>
      </c>
      <c r="H252" s="1">
        <v>858.25</v>
      </c>
    </row>
    <row r="253" spans="1:8" ht="21.75" customHeight="1">
      <c r="A253" s="1" t="str">
        <f>"1206690000198612"</f>
        <v>1206690000198612</v>
      </c>
      <c r="B253" s="1" t="s">
        <v>1066</v>
      </c>
      <c r="C253" s="1" t="s">
        <v>1067</v>
      </c>
      <c r="D253" s="1" t="s">
        <v>1068</v>
      </c>
      <c r="E253" s="1"/>
      <c r="F253" s="1" t="s">
        <v>8</v>
      </c>
      <c r="G253" s="1">
        <v>700054</v>
      </c>
      <c r="H253" s="1">
        <v>0.75</v>
      </c>
    </row>
    <row r="254" spans="1:8" ht="21.75" customHeight="1">
      <c r="A254" s="1" t="str">
        <f>"1206620000062821"</f>
        <v>1206620000062821</v>
      </c>
      <c r="B254" s="1" t="s">
        <v>1069</v>
      </c>
      <c r="C254" s="1" t="s">
        <v>1070</v>
      </c>
      <c r="D254" s="1" t="s">
        <v>1071</v>
      </c>
      <c r="E254" s="1"/>
      <c r="F254" s="1" t="s">
        <v>8</v>
      </c>
      <c r="G254" s="1">
        <v>700108</v>
      </c>
      <c r="H254" s="1">
        <v>7.5</v>
      </c>
    </row>
    <row r="255" spans="1:8" ht="21.75" customHeight="1">
      <c r="A255" s="1" t="str">
        <f>"IN30280610037329"</f>
        <v>IN30280610037329</v>
      </c>
      <c r="B255" s="1" t="s">
        <v>1072</v>
      </c>
      <c r="C255" s="1" t="s">
        <v>1073</v>
      </c>
      <c r="D255" s="1" t="s">
        <v>1074</v>
      </c>
      <c r="E255" s="1" t="s">
        <v>1075</v>
      </c>
      <c r="F255" s="1"/>
      <c r="G255" s="1">
        <v>711102</v>
      </c>
      <c r="H255" s="1">
        <v>75</v>
      </c>
    </row>
    <row r="256" spans="1:8" ht="21.75" customHeight="1">
      <c r="A256" s="1" t="str">
        <f>"IN30290241427622"</f>
        <v>IN30290241427622</v>
      </c>
      <c r="B256" s="1" t="s">
        <v>1076</v>
      </c>
      <c r="C256" s="1" t="s">
        <v>1077</v>
      </c>
      <c r="D256" s="1" t="s">
        <v>1078</v>
      </c>
      <c r="E256" s="1" t="s">
        <v>1079</v>
      </c>
      <c r="F256" s="1"/>
      <c r="G256" s="1">
        <v>751007</v>
      </c>
      <c r="H256" s="1">
        <v>63</v>
      </c>
    </row>
    <row r="257" spans="1:8" ht="21.75" customHeight="1">
      <c r="A257" s="1" t="str">
        <f>"1304140000311588"</f>
        <v>1304140000311588</v>
      </c>
      <c r="B257" s="1" t="s">
        <v>1080</v>
      </c>
      <c r="C257" s="1" t="s">
        <v>1081</v>
      </c>
      <c r="D257" s="1" t="s">
        <v>1082</v>
      </c>
      <c r="E257" s="1" t="s">
        <v>1083</v>
      </c>
      <c r="F257" s="1" t="s">
        <v>1084</v>
      </c>
      <c r="G257" s="1">
        <v>760010</v>
      </c>
      <c r="H257" s="1">
        <v>30</v>
      </c>
    </row>
    <row r="258" spans="1:8" ht="21.75" customHeight="1">
      <c r="A258" s="1" t="str">
        <f>"1206690000122029"</f>
        <v>1206690000122029</v>
      </c>
      <c r="B258" s="1" t="s">
        <v>1086</v>
      </c>
      <c r="C258" s="1" t="s">
        <v>1087</v>
      </c>
      <c r="D258" s="1" t="s">
        <v>1088</v>
      </c>
      <c r="E258" s="1" t="s">
        <v>1089</v>
      </c>
      <c r="F258" s="1" t="s">
        <v>1085</v>
      </c>
      <c r="G258" s="1">
        <v>781012</v>
      </c>
      <c r="H258" s="1">
        <v>187.5</v>
      </c>
    </row>
    <row r="259" spans="1:8" ht="21.75" customHeight="1">
      <c r="A259" s="1" t="str">
        <f>"1204720009426984"</f>
        <v>1204720009426984</v>
      </c>
      <c r="B259" s="1" t="s">
        <v>1090</v>
      </c>
      <c r="C259" s="1" t="s">
        <v>1091</v>
      </c>
      <c r="D259" s="1" t="s">
        <v>1092</v>
      </c>
      <c r="E259" s="1" t="s">
        <v>1093</v>
      </c>
      <c r="F259" s="1" t="s">
        <v>1085</v>
      </c>
      <c r="G259" s="1">
        <v>781022</v>
      </c>
      <c r="H259" s="1">
        <v>75</v>
      </c>
    </row>
    <row r="260" spans="1:8" ht="21.75" customHeight="1">
      <c r="A260" s="1" t="str">
        <f>"1203350002659359"</f>
        <v>1203350002659359</v>
      </c>
      <c r="B260" s="1" t="s">
        <v>1095</v>
      </c>
      <c r="C260" s="1" t="s">
        <v>1096</v>
      </c>
      <c r="D260" s="1" t="s">
        <v>1097</v>
      </c>
      <c r="E260" s="1" t="s">
        <v>1098</v>
      </c>
      <c r="F260" s="1" t="s">
        <v>1094</v>
      </c>
      <c r="G260" s="1">
        <v>813213</v>
      </c>
      <c r="H260" s="1">
        <v>7.5</v>
      </c>
    </row>
    <row r="261" spans="1:8" ht="21.75" customHeight="1">
      <c r="A261" s="1" t="str">
        <f>"1202890001252092"</f>
        <v>1202890001252092</v>
      </c>
      <c r="B261" s="1" t="s">
        <v>1100</v>
      </c>
      <c r="C261" s="1" t="s">
        <v>1101</v>
      </c>
      <c r="D261" s="1" t="s">
        <v>1102</v>
      </c>
      <c r="E261" s="1"/>
      <c r="F261" s="1" t="s">
        <v>1099</v>
      </c>
      <c r="G261" s="1">
        <v>828204</v>
      </c>
      <c r="H261" s="1">
        <v>2.25</v>
      </c>
    </row>
    <row r="262" spans="1:8" ht="21.75" customHeight="1">
      <c r="A262" s="1" t="str">
        <f>"IN30023913120439"</f>
        <v>IN30023913120439</v>
      </c>
      <c r="B262" s="1" t="s">
        <v>1103</v>
      </c>
      <c r="C262" s="1" t="s">
        <v>1104</v>
      </c>
      <c r="D262" s="1" t="s">
        <v>1105</v>
      </c>
      <c r="E262" s="1" t="s">
        <v>1106</v>
      </c>
      <c r="F262" s="1"/>
      <c r="G262" s="1"/>
      <c r="H262" s="1">
        <v>297</v>
      </c>
    </row>
    <row r="263" spans="1:8" ht="21.75" customHeight="1">
      <c r="A263" s="1" t="str">
        <f>"IN30023912618859"</f>
        <v>IN30023912618859</v>
      </c>
      <c r="B263" s="1" t="s">
        <v>1107</v>
      </c>
      <c r="C263" s="1" t="s">
        <v>1108</v>
      </c>
      <c r="D263" s="1" t="s">
        <v>1109</v>
      </c>
      <c r="E263" s="1" t="s">
        <v>1110</v>
      </c>
      <c r="F263" s="1"/>
      <c r="G263" s="1"/>
      <c r="H263" s="1">
        <v>1188</v>
      </c>
    </row>
    <row r="264" spans="1:8" ht="21.75" customHeight="1">
      <c r="A264" s="1" t="str">
        <f>"IN30037810572032"</f>
        <v>IN30037810572032</v>
      </c>
      <c r="B264" s="1" t="s">
        <v>1111</v>
      </c>
      <c r="C264" s="1" t="s">
        <v>1112</v>
      </c>
      <c r="D264" s="1"/>
      <c r="E264" s="1" t="s">
        <v>1113</v>
      </c>
      <c r="F264" s="1"/>
      <c r="G264" s="1">
        <v>112</v>
      </c>
      <c r="H264" s="1">
        <v>59</v>
      </c>
    </row>
    <row r="265" spans="1:8" ht="21.75" customHeight="1">
      <c r="A265" s="1" t="str">
        <f>"IN30302873990220"</f>
        <v>IN30302873990220</v>
      </c>
      <c r="B265" s="1" t="s">
        <v>1114</v>
      </c>
      <c r="C265" s="1" t="s">
        <v>1115</v>
      </c>
      <c r="D265" s="1"/>
      <c r="E265" s="1" t="s">
        <v>1116</v>
      </c>
      <c r="F265" s="1"/>
      <c r="G265" s="1">
        <v>45459</v>
      </c>
      <c r="H265" s="1">
        <v>1604</v>
      </c>
    </row>
    <row r="266" spans="1:8" ht="21.75" customHeight="1">
      <c r="A266" s="1" t="str">
        <f>"1204750000007241"</f>
        <v>1204750000007241</v>
      </c>
      <c r="B266" s="1" t="s">
        <v>1117</v>
      </c>
      <c r="C266" s="1" t="s">
        <v>1118</v>
      </c>
      <c r="D266" s="1" t="s">
        <v>1119</v>
      </c>
      <c r="E266" s="1" t="s">
        <v>1120</v>
      </c>
      <c r="F266" s="1" t="s">
        <v>1121</v>
      </c>
      <c r="G266" s="1">
        <v>97710</v>
      </c>
      <c r="H266" s="1">
        <v>255.5</v>
      </c>
    </row>
    <row r="267" spans="1:8" ht="21.75" customHeight="1">
      <c r="A267" s="1" t="str">
        <f>"IN30023910953509"</f>
        <v>IN30023910953509</v>
      </c>
      <c r="B267" s="1" t="s">
        <v>1122</v>
      </c>
      <c r="C267" s="1" t="s">
        <v>1123</v>
      </c>
      <c r="D267" s="1" t="s">
        <v>1124</v>
      </c>
      <c r="E267" s="1" t="s">
        <v>1125</v>
      </c>
      <c r="F267" s="1"/>
      <c r="G267" s="1">
        <v>100000</v>
      </c>
      <c r="H267" s="1">
        <v>891</v>
      </c>
    </row>
    <row r="268" spans="1:8" ht="21.75" customHeight="1">
      <c r="A268" s="1" t="str">
        <f>"1201910102301686"</f>
        <v>1201910102301686</v>
      </c>
      <c r="B268" s="1" t="s">
        <v>1126</v>
      </c>
      <c r="C268" s="1" t="s">
        <v>1127</v>
      </c>
      <c r="D268" s="1" t="s">
        <v>1128</v>
      </c>
      <c r="E268" s="1" t="s">
        <v>1129</v>
      </c>
      <c r="F268" s="1" t="s">
        <v>70</v>
      </c>
      <c r="G268" s="1">
        <v>110001</v>
      </c>
      <c r="H268" s="1">
        <v>6108.5</v>
      </c>
    </row>
    <row r="269" spans="1:8" ht="21.75" customHeight="1">
      <c r="A269" s="1" t="str">
        <f>"1204920001977102"</f>
        <v>1204920001977102</v>
      </c>
      <c r="B269" s="1" t="s">
        <v>1130</v>
      </c>
      <c r="C269" s="1" t="s">
        <v>1131</v>
      </c>
      <c r="D269" s="1" t="s">
        <v>1132</v>
      </c>
      <c r="E269" s="1"/>
      <c r="F269" s="1" t="s">
        <v>70</v>
      </c>
      <c r="G269" s="1">
        <v>110004</v>
      </c>
      <c r="H269" s="1">
        <v>15</v>
      </c>
    </row>
    <row r="270" spans="1:8" ht="21.75" customHeight="1">
      <c r="A270" s="1" t="str">
        <f>"IN30021436213026"</f>
        <v>IN30021436213026</v>
      </c>
      <c r="B270" s="1" t="s">
        <v>1133</v>
      </c>
      <c r="C270" s="1" t="s">
        <v>1134</v>
      </c>
      <c r="D270" s="1" t="s">
        <v>1135</v>
      </c>
      <c r="E270" s="1" t="s">
        <v>1136</v>
      </c>
      <c r="F270" s="1"/>
      <c r="G270" s="1">
        <v>110005</v>
      </c>
      <c r="H270" s="1">
        <v>22.5</v>
      </c>
    </row>
    <row r="271" spans="1:8" ht="21.75" customHeight="1">
      <c r="A271" s="1" t="str">
        <f>"IN30020610962323"</f>
        <v>IN30020610962323</v>
      </c>
      <c r="B271" s="1" t="s">
        <v>1137</v>
      </c>
      <c r="C271" s="1" t="s">
        <v>1138</v>
      </c>
      <c r="D271" s="1" t="s">
        <v>1139</v>
      </c>
      <c r="E271" s="1" t="s">
        <v>76</v>
      </c>
      <c r="F271" s="1"/>
      <c r="G271" s="1">
        <v>110007</v>
      </c>
      <c r="H271" s="1">
        <v>1500</v>
      </c>
    </row>
    <row r="272" spans="1:8" ht="21.75" customHeight="1">
      <c r="A272" s="1" t="str">
        <f>"IN30231610341487"</f>
        <v>IN30231610341487</v>
      </c>
      <c r="B272" s="1" t="s">
        <v>1140</v>
      </c>
      <c r="C272" s="1" t="s">
        <v>1141</v>
      </c>
      <c r="D272" s="1" t="s">
        <v>1139</v>
      </c>
      <c r="E272" s="1" t="s">
        <v>1142</v>
      </c>
      <c r="F272" s="1"/>
      <c r="G272" s="1">
        <v>110007</v>
      </c>
      <c r="H272" s="1">
        <v>750</v>
      </c>
    </row>
    <row r="273" spans="1:8" ht="21.75" customHeight="1">
      <c r="A273" s="1" t="str">
        <f>"1204470007597832"</f>
        <v>1204470007597832</v>
      </c>
      <c r="B273" s="1" t="s">
        <v>1143</v>
      </c>
      <c r="C273" s="1" t="s">
        <v>1144</v>
      </c>
      <c r="D273" s="1" t="s">
        <v>1145</v>
      </c>
      <c r="E273" s="1" t="s">
        <v>76</v>
      </c>
      <c r="F273" s="1" t="s">
        <v>70</v>
      </c>
      <c r="G273" s="1">
        <v>110008</v>
      </c>
      <c r="H273" s="1">
        <v>750</v>
      </c>
    </row>
    <row r="274" spans="1:8" ht="21.75" customHeight="1">
      <c r="A274" s="1" t="str">
        <f>"1201910100518441"</f>
        <v>1201910100518441</v>
      </c>
      <c r="B274" s="1" t="s">
        <v>1146</v>
      </c>
      <c r="C274" s="1" t="s">
        <v>1147</v>
      </c>
      <c r="D274" s="1" t="s">
        <v>1148</v>
      </c>
      <c r="E274" s="1" t="s">
        <v>1149</v>
      </c>
      <c r="F274" s="1" t="s">
        <v>70</v>
      </c>
      <c r="G274" s="1">
        <v>110014</v>
      </c>
      <c r="H274" s="1">
        <v>37.5</v>
      </c>
    </row>
    <row r="275" spans="1:8" ht="21.75" customHeight="1">
      <c r="A275" s="1" t="str">
        <f>"1203600002283376"</f>
        <v>1203600002283376</v>
      </c>
      <c r="B275" s="1" t="s">
        <v>1150</v>
      </c>
      <c r="C275" s="1" t="s">
        <v>1151</v>
      </c>
      <c r="D275" s="1" t="s">
        <v>1152</v>
      </c>
      <c r="E275" s="1"/>
      <c r="F275" s="1" t="s">
        <v>70</v>
      </c>
      <c r="G275" s="1">
        <v>110014</v>
      </c>
      <c r="H275" s="1">
        <v>15</v>
      </c>
    </row>
    <row r="276" spans="1:8" ht="21.75" customHeight="1">
      <c r="A276" s="1" t="str">
        <f>"IN30051317607004"</f>
        <v>IN30051317607004</v>
      </c>
      <c r="B276" s="1" t="s">
        <v>1153</v>
      </c>
      <c r="C276" s="1" t="s">
        <v>1154</v>
      </c>
      <c r="D276" s="1" t="s">
        <v>1155</v>
      </c>
      <c r="E276" s="1" t="s">
        <v>1156</v>
      </c>
      <c r="F276" s="1"/>
      <c r="G276" s="1">
        <v>110016</v>
      </c>
      <c r="H276" s="1">
        <v>2.25</v>
      </c>
    </row>
    <row r="277" spans="1:8" ht="21.75" customHeight="1">
      <c r="A277" s="1" t="str">
        <f>"1208180000088631"</f>
        <v>1208180000088631</v>
      </c>
      <c r="B277" s="1" t="s">
        <v>1157</v>
      </c>
      <c r="C277" s="1" t="s">
        <v>1158</v>
      </c>
      <c r="D277" s="1" t="s">
        <v>1159</v>
      </c>
      <c r="E277" s="1"/>
      <c r="F277" s="1" t="s">
        <v>70</v>
      </c>
      <c r="G277" s="1">
        <v>110017</v>
      </c>
      <c r="H277" s="1">
        <v>7.5</v>
      </c>
    </row>
    <row r="278" spans="1:8" ht="21.75" customHeight="1">
      <c r="A278" s="1" t="str">
        <f>"IN30021442241696"</f>
        <v>IN30021442241696</v>
      </c>
      <c r="B278" s="1" t="s">
        <v>1160</v>
      </c>
      <c r="C278" s="1" t="s">
        <v>1161</v>
      </c>
      <c r="D278" s="1" t="s">
        <v>1162</v>
      </c>
      <c r="E278" s="1" t="s">
        <v>1163</v>
      </c>
      <c r="F278" s="1"/>
      <c r="G278" s="1">
        <v>110018</v>
      </c>
      <c r="H278" s="1">
        <v>75</v>
      </c>
    </row>
    <row r="279" spans="1:8" ht="21.75" customHeight="1">
      <c r="A279" s="1" t="str">
        <f>"1201090005617534"</f>
        <v>1201090005617534</v>
      </c>
      <c r="B279" s="1" t="s">
        <v>1164</v>
      </c>
      <c r="C279" s="1" t="s">
        <v>1165</v>
      </c>
      <c r="D279" s="1" t="s">
        <v>1166</v>
      </c>
      <c r="E279" s="1"/>
      <c r="F279" s="1" t="s">
        <v>70</v>
      </c>
      <c r="G279" s="1">
        <v>110019</v>
      </c>
      <c r="H279" s="1">
        <v>75</v>
      </c>
    </row>
    <row r="280" spans="1:8" ht="21.75" customHeight="1">
      <c r="A280" s="1" t="str">
        <f>"1202990005772215"</f>
        <v>1202990005772215</v>
      </c>
      <c r="B280" s="1" t="s">
        <v>1167</v>
      </c>
      <c r="C280" s="1" t="s">
        <v>1168</v>
      </c>
      <c r="D280" s="1" t="s">
        <v>1169</v>
      </c>
      <c r="E280" s="1"/>
      <c r="F280" s="1" t="s">
        <v>70</v>
      </c>
      <c r="G280" s="1">
        <v>110019</v>
      </c>
      <c r="H280" s="1">
        <v>37.5</v>
      </c>
    </row>
    <row r="281" spans="1:8" ht="21.75" customHeight="1">
      <c r="A281" s="1" t="str">
        <f>"1204470003586265"</f>
        <v>1204470003586265</v>
      </c>
      <c r="B281" s="1" t="s">
        <v>1170</v>
      </c>
      <c r="C281" s="1" t="s">
        <v>1171</v>
      </c>
      <c r="D281" s="1" t="s">
        <v>1172</v>
      </c>
      <c r="E281" s="1"/>
      <c r="F281" s="1" t="s">
        <v>1173</v>
      </c>
      <c r="G281" s="1">
        <v>110019</v>
      </c>
      <c r="H281" s="1">
        <v>3.75</v>
      </c>
    </row>
    <row r="282" spans="1:8" ht="21.75" customHeight="1">
      <c r="A282" s="1" t="str">
        <f>"IN30429514745820"</f>
        <v>IN30429514745820</v>
      </c>
      <c r="B282" s="1" t="s">
        <v>1174</v>
      </c>
      <c r="C282" s="1" t="s">
        <v>1175</v>
      </c>
      <c r="D282" s="1" t="s">
        <v>1176</v>
      </c>
      <c r="E282" s="1" t="s">
        <v>70</v>
      </c>
      <c r="F282" s="1"/>
      <c r="G282" s="1">
        <v>110019</v>
      </c>
      <c r="H282" s="1">
        <v>0.75</v>
      </c>
    </row>
    <row r="283" spans="1:8" ht="21.75" customHeight="1">
      <c r="A283" s="1" t="str">
        <f>"IN30023912178458"</f>
        <v>IN30023912178458</v>
      </c>
      <c r="B283" s="1" t="s">
        <v>1177</v>
      </c>
      <c r="C283" s="1" t="s">
        <v>1178</v>
      </c>
      <c r="D283" s="1" t="s">
        <v>1179</v>
      </c>
      <c r="E283" s="1" t="s">
        <v>1142</v>
      </c>
      <c r="F283" s="1"/>
      <c r="G283" s="1">
        <v>110023</v>
      </c>
      <c r="H283" s="1">
        <v>26.25</v>
      </c>
    </row>
    <row r="284" spans="1:8" ht="21.75" customHeight="1">
      <c r="A284" s="1" t="str">
        <f>"1201910102279332"</f>
        <v>1201910102279332</v>
      </c>
      <c r="B284" s="1" t="s">
        <v>1180</v>
      </c>
      <c r="C284" s="1" t="s">
        <v>1181</v>
      </c>
      <c r="D284" s="1" t="s">
        <v>1182</v>
      </c>
      <c r="E284" s="1" t="s">
        <v>1183</v>
      </c>
      <c r="F284" s="1" t="s">
        <v>70</v>
      </c>
      <c r="G284" s="1">
        <v>110028</v>
      </c>
      <c r="H284" s="1">
        <v>37.5</v>
      </c>
    </row>
    <row r="285" spans="1:8" ht="21.75" customHeight="1">
      <c r="A285" s="1" t="str">
        <f>"1208870033734777"</f>
        <v>1208870033734777</v>
      </c>
      <c r="B285" s="1" t="s">
        <v>1184</v>
      </c>
      <c r="C285" s="1" t="s">
        <v>1185</v>
      </c>
      <c r="D285" s="1" t="s">
        <v>1186</v>
      </c>
      <c r="E285" s="1" t="s">
        <v>1187</v>
      </c>
      <c r="F285" s="1" t="s">
        <v>76</v>
      </c>
      <c r="G285" s="1">
        <v>110030</v>
      </c>
      <c r="H285" s="1">
        <v>0.75</v>
      </c>
    </row>
    <row r="286" spans="1:8" ht="21.75" customHeight="1">
      <c r="A286" s="1" t="str">
        <f>"IN30226914155661"</f>
        <v>IN30226914155661</v>
      </c>
      <c r="B286" s="1" t="s">
        <v>1188</v>
      </c>
      <c r="C286" s="1" t="s">
        <v>1189</v>
      </c>
      <c r="D286" s="1" t="s">
        <v>1190</v>
      </c>
      <c r="E286" s="1" t="s">
        <v>1191</v>
      </c>
      <c r="F286" s="1"/>
      <c r="G286" s="1">
        <v>110034</v>
      </c>
      <c r="H286" s="1">
        <v>37.5</v>
      </c>
    </row>
    <row r="287" spans="1:8" ht="21.75" customHeight="1">
      <c r="A287" s="1" t="str">
        <f>"1204470001327271"</f>
        <v>1204470001327271</v>
      </c>
      <c r="B287" s="1" t="s">
        <v>1192</v>
      </c>
      <c r="C287" s="1" t="s">
        <v>1193</v>
      </c>
      <c r="D287" s="1" t="s">
        <v>1194</v>
      </c>
      <c r="E287" s="1" t="s">
        <v>1195</v>
      </c>
      <c r="F287" s="1" t="s">
        <v>76</v>
      </c>
      <c r="G287" s="1">
        <v>110041</v>
      </c>
      <c r="H287" s="1">
        <v>18.75</v>
      </c>
    </row>
    <row r="288" spans="1:8" ht="21.75" customHeight="1">
      <c r="A288" s="1" t="str">
        <f>"1208160025600053"</f>
        <v>1208160025600053</v>
      </c>
      <c r="B288" s="1" t="s">
        <v>1197</v>
      </c>
      <c r="C288" s="1" t="s">
        <v>1198</v>
      </c>
      <c r="D288" s="1" t="s">
        <v>1199</v>
      </c>
      <c r="E288" s="1"/>
      <c r="F288" s="1" t="s">
        <v>1196</v>
      </c>
      <c r="G288" s="1">
        <v>110043</v>
      </c>
      <c r="H288" s="1">
        <v>15</v>
      </c>
    </row>
    <row r="289" spans="1:8" ht="21.75" customHeight="1">
      <c r="A289" s="1" t="str">
        <f>"1203320037126926"</f>
        <v>1203320037126926</v>
      </c>
      <c r="B289" s="1" t="s">
        <v>1200</v>
      </c>
      <c r="C289" s="1" t="s">
        <v>1201</v>
      </c>
      <c r="D289" s="1" t="s">
        <v>1202</v>
      </c>
      <c r="E289" s="1"/>
      <c r="F289" s="1" t="s">
        <v>70</v>
      </c>
      <c r="G289" s="1">
        <v>110046</v>
      </c>
      <c r="H289" s="1">
        <v>15.75</v>
      </c>
    </row>
    <row r="290" spans="1:8" ht="21.75" customHeight="1">
      <c r="A290" s="1" t="str">
        <f>"IN30223610793905"</f>
        <v>IN30223610793905</v>
      </c>
      <c r="B290" s="1" t="s">
        <v>1204</v>
      </c>
      <c r="C290" s="1" t="s">
        <v>1205</v>
      </c>
      <c r="D290" s="1" t="s">
        <v>1206</v>
      </c>
      <c r="E290" s="1" t="s">
        <v>1207</v>
      </c>
      <c r="F290" s="1"/>
      <c r="G290" s="1">
        <v>110049</v>
      </c>
      <c r="H290" s="1">
        <v>112.5</v>
      </c>
    </row>
    <row r="291" spans="1:8" ht="21.75" customHeight="1">
      <c r="A291" s="1" t="str">
        <f>"1203350001768261"</f>
        <v>1203350001768261</v>
      </c>
      <c r="B291" s="1" t="s">
        <v>1208</v>
      </c>
      <c r="C291" s="1" t="s">
        <v>1209</v>
      </c>
      <c r="D291" s="1" t="s">
        <v>1210</v>
      </c>
      <c r="E291" s="1" t="s">
        <v>1211</v>
      </c>
      <c r="F291" s="1" t="s">
        <v>76</v>
      </c>
      <c r="G291" s="1">
        <v>110051</v>
      </c>
      <c r="H291" s="1">
        <v>17.25</v>
      </c>
    </row>
    <row r="292" spans="1:8" ht="21.75" customHeight="1">
      <c r="A292" s="1" t="str">
        <f>"IN30209210214826"</f>
        <v>IN30209210214826</v>
      </c>
      <c r="B292" s="1" t="s">
        <v>1212</v>
      </c>
      <c r="C292" s="1" t="s">
        <v>1213</v>
      </c>
      <c r="D292" s="1" t="s">
        <v>1214</v>
      </c>
      <c r="E292" s="1" t="s">
        <v>70</v>
      </c>
      <c r="F292" s="1"/>
      <c r="G292" s="1">
        <v>110051</v>
      </c>
      <c r="H292" s="1">
        <v>37.5</v>
      </c>
    </row>
    <row r="293" spans="1:8" ht="21.75" customHeight="1">
      <c r="A293" s="1" t="str">
        <f>"1208160000442507"</f>
        <v>1208160000442507</v>
      </c>
      <c r="B293" s="1" t="s">
        <v>1215</v>
      </c>
      <c r="C293" s="1" t="s">
        <v>1216</v>
      </c>
      <c r="D293" s="1" t="s">
        <v>1217</v>
      </c>
      <c r="E293" s="1"/>
      <c r="F293" s="1" t="s">
        <v>70</v>
      </c>
      <c r="G293" s="1">
        <v>110055</v>
      </c>
      <c r="H293" s="1">
        <v>7.5</v>
      </c>
    </row>
    <row r="294" spans="1:8" ht="21.75" customHeight="1">
      <c r="A294" s="1" t="str">
        <f>"1204920002012489"</f>
        <v>1204920002012489</v>
      </c>
      <c r="B294" s="1" t="s">
        <v>1218</v>
      </c>
      <c r="C294" s="1" t="s">
        <v>1219</v>
      </c>
      <c r="D294" s="1" t="s">
        <v>1220</v>
      </c>
      <c r="E294" s="1" t="s">
        <v>1221</v>
      </c>
      <c r="F294" s="1" t="s">
        <v>70</v>
      </c>
      <c r="G294" s="1">
        <v>110058</v>
      </c>
      <c r="H294" s="1">
        <v>9</v>
      </c>
    </row>
    <row r="295" spans="1:8" ht="21.75" customHeight="1">
      <c r="A295" s="1" t="str">
        <f>"1208160005191511"</f>
        <v>1208160005191511</v>
      </c>
      <c r="B295" s="1" t="s">
        <v>1222</v>
      </c>
      <c r="C295" s="1" t="s">
        <v>1223</v>
      </c>
      <c r="D295" s="1" t="s">
        <v>1224</v>
      </c>
      <c r="E295" s="1"/>
      <c r="F295" s="1" t="s">
        <v>70</v>
      </c>
      <c r="G295" s="1">
        <v>110058</v>
      </c>
      <c r="H295" s="1">
        <v>26.25</v>
      </c>
    </row>
    <row r="296" spans="1:8" ht="21.75" customHeight="1">
      <c r="A296" s="1" t="str">
        <f>"IN30327010978743"</f>
        <v>IN30327010978743</v>
      </c>
      <c r="B296" s="1" t="s">
        <v>1225</v>
      </c>
      <c r="C296" s="1" t="s">
        <v>1226</v>
      </c>
      <c r="D296" s="1" t="s">
        <v>1227</v>
      </c>
      <c r="E296" s="1" t="s">
        <v>1228</v>
      </c>
      <c r="F296" s="1"/>
      <c r="G296" s="1">
        <v>110058</v>
      </c>
      <c r="H296" s="1">
        <v>172.25</v>
      </c>
    </row>
    <row r="297" spans="1:8" ht="21.75" customHeight="1">
      <c r="A297" s="1" t="str">
        <f>"1203320047741516"</f>
        <v>1203320047741516</v>
      </c>
      <c r="B297" s="1" t="s">
        <v>1229</v>
      </c>
      <c r="C297" s="1" t="s">
        <v>1230</v>
      </c>
      <c r="D297" s="1" t="s">
        <v>1231</v>
      </c>
      <c r="E297" s="1"/>
      <c r="F297" s="1" t="s">
        <v>70</v>
      </c>
      <c r="G297" s="1">
        <v>110059</v>
      </c>
      <c r="H297" s="1">
        <v>0.75</v>
      </c>
    </row>
    <row r="298" spans="1:8" ht="21.75" customHeight="1">
      <c r="A298" s="1" t="str">
        <f>"IN30429526534816"</f>
        <v>IN30429526534816</v>
      </c>
      <c r="B298" s="1" t="s">
        <v>1232</v>
      </c>
      <c r="C298" s="1" t="s">
        <v>1233</v>
      </c>
      <c r="D298" s="1" t="s">
        <v>1234</v>
      </c>
      <c r="E298" s="1" t="s">
        <v>1235</v>
      </c>
      <c r="F298" s="1"/>
      <c r="G298" s="1">
        <v>110059</v>
      </c>
      <c r="H298" s="1">
        <v>75</v>
      </c>
    </row>
    <row r="299" spans="1:8" ht="21.75" customHeight="1">
      <c r="A299" s="1" t="str">
        <f>"1208160074942059"</f>
        <v>1208160074942059</v>
      </c>
      <c r="B299" s="1" t="s">
        <v>1236</v>
      </c>
      <c r="C299" s="1" t="s">
        <v>1237</v>
      </c>
      <c r="D299" s="1"/>
      <c r="E299" s="1"/>
      <c r="F299" s="1" t="s">
        <v>1196</v>
      </c>
      <c r="G299" s="1">
        <v>110059</v>
      </c>
      <c r="H299" s="1">
        <v>16.5</v>
      </c>
    </row>
    <row r="300" spans="1:8" ht="21.75" customHeight="1">
      <c r="A300" s="1" t="str">
        <f>"1208870078620286"</f>
        <v>1208870078620286</v>
      </c>
      <c r="B300" s="1" t="s">
        <v>1238</v>
      </c>
      <c r="C300" s="1" t="s">
        <v>1239</v>
      </c>
      <c r="D300" s="1" t="s">
        <v>1240</v>
      </c>
      <c r="E300" s="1" t="s">
        <v>410</v>
      </c>
      <c r="F300" s="1" t="s">
        <v>1196</v>
      </c>
      <c r="G300" s="1">
        <v>110059</v>
      </c>
      <c r="H300" s="1">
        <v>15</v>
      </c>
    </row>
    <row r="301" spans="1:8" ht="21.75" customHeight="1">
      <c r="A301" s="1" t="str">
        <f>"1208160019297523"</f>
        <v>1208160019297523</v>
      </c>
      <c r="B301" s="1" t="s">
        <v>1242</v>
      </c>
      <c r="C301" s="1" t="s">
        <v>1243</v>
      </c>
      <c r="D301" s="1" t="s">
        <v>1244</v>
      </c>
      <c r="E301" s="1"/>
      <c r="F301" s="1" t="s">
        <v>1196</v>
      </c>
      <c r="G301" s="1">
        <v>110059</v>
      </c>
      <c r="H301" s="1">
        <v>0.75</v>
      </c>
    </row>
    <row r="302" spans="1:8" ht="21.75" customHeight="1">
      <c r="A302" s="1" t="str">
        <f>"1208180003452425"</f>
        <v>1208180003452425</v>
      </c>
      <c r="B302" s="1" t="s">
        <v>1245</v>
      </c>
      <c r="C302" s="1" t="s">
        <v>1246</v>
      </c>
      <c r="D302" s="1"/>
      <c r="E302" s="1"/>
      <c r="F302" s="1" t="s">
        <v>70</v>
      </c>
      <c r="G302" s="1">
        <v>110062</v>
      </c>
      <c r="H302" s="1">
        <v>0.75</v>
      </c>
    </row>
    <row r="303" spans="1:8" ht="21.75" customHeight="1">
      <c r="A303" s="1" t="str">
        <f>"1203320056665850"</f>
        <v>1203320056665850</v>
      </c>
      <c r="B303" s="1" t="s">
        <v>1247</v>
      </c>
      <c r="C303" s="1" t="s">
        <v>1248</v>
      </c>
      <c r="D303" s="1" t="s">
        <v>1249</v>
      </c>
      <c r="E303" s="1"/>
      <c r="F303" s="1" t="s">
        <v>70</v>
      </c>
      <c r="G303" s="1">
        <v>110064</v>
      </c>
      <c r="H303" s="1">
        <v>37.5</v>
      </c>
    </row>
    <row r="304" spans="1:8" ht="21.75" customHeight="1">
      <c r="A304" s="1" t="str">
        <f>"IN30429518326649"</f>
        <v>IN30429518326649</v>
      </c>
      <c r="B304" s="1" t="s">
        <v>1250</v>
      </c>
      <c r="C304" s="1" t="s">
        <v>1251</v>
      </c>
      <c r="D304" s="1" t="s">
        <v>1252</v>
      </c>
      <c r="E304" s="1" t="s">
        <v>1163</v>
      </c>
      <c r="F304" s="1"/>
      <c r="G304" s="1">
        <v>110064</v>
      </c>
      <c r="H304" s="1">
        <v>183</v>
      </c>
    </row>
    <row r="305" spans="1:8" ht="21.75" customHeight="1">
      <c r="A305" s="1" t="str">
        <f>"IN30177417329159"</f>
        <v>IN30177417329159</v>
      </c>
      <c r="B305" s="1" t="s">
        <v>1253</v>
      </c>
      <c r="C305" s="1" t="s">
        <v>1254</v>
      </c>
      <c r="D305" s="1" t="s">
        <v>1255</v>
      </c>
      <c r="E305" s="1" t="s">
        <v>1256</v>
      </c>
      <c r="F305" s="1"/>
      <c r="G305" s="1">
        <v>110065</v>
      </c>
      <c r="H305" s="1">
        <v>15.75</v>
      </c>
    </row>
    <row r="306" spans="1:8" ht="21.75" customHeight="1">
      <c r="A306" s="1" t="str">
        <f>"IN30051313896325"</f>
        <v>IN30051313896325</v>
      </c>
      <c r="B306" s="1" t="s">
        <v>1257</v>
      </c>
      <c r="C306" s="1" t="s">
        <v>1258</v>
      </c>
      <c r="D306" s="1" t="s">
        <v>1259</v>
      </c>
      <c r="E306" s="1" t="s">
        <v>1260</v>
      </c>
      <c r="F306" s="1"/>
      <c r="G306" s="1">
        <v>110072</v>
      </c>
      <c r="H306" s="1">
        <v>75</v>
      </c>
    </row>
    <row r="307" spans="1:8" ht="21.75" customHeight="1">
      <c r="A307" s="1" t="str">
        <f>"1208870002037423"</f>
        <v>1208870002037423</v>
      </c>
      <c r="B307" s="1" t="s">
        <v>1262</v>
      </c>
      <c r="C307" s="1" t="s">
        <v>1263</v>
      </c>
      <c r="D307" s="1" t="s">
        <v>1264</v>
      </c>
      <c r="E307" s="1" t="s">
        <v>410</v>
      </c>
      <c r="F307" s="1" t="s">
        <v>1261</v>
      </c>
      <c r="G307" s="1">
        <v>110074</v>
      </c>
      <c r="H307" s="1">
        <v>3.75</v>
      </c>
    </row>
    <row r="308" spans="1:8" ht="21.75" customHeight="1">
      <c r="A308" s="1" t="str">
        <f>"IN30223610471217"</f>
        <v>IN30223610471217</v>
      </c>
      <c r="B308" s="1" t="s">
        <v>1265</v>
      </c>
      <c r="C308" s="1" t="s">
        <v>1266</v>
      </c>
      <c r="D308" s="1" t="s">
        <v>1267</v>
      </c>
      <c r="E308" s="1" t="s">
        <v>1268</v>
      </c>
      <c r="F308" s="1"/>
      <c r="G308" s="1">
        <v>110075</v>
      </c>
      <c r="H308" s="1">
        <v>217.5</v>
      </c>
    </row>
    <row r="309" spans="1:8" ht="21.75" customHeight="1">
      <c r="A309" s="1" t="str">
        <f>"1208870068049358"</f>
        <v>1208870068049358</v>
      </c>
      <c r="B309" s="1" t="s">
        <v>1270</v>
      </c>
      <c r="C309" s="1" t="s">
        <v>1271</v>
      </c>
      <c r="D309" s="1" t="s">
        <v>1272</v>
      </c>
      <c r="E309" s="1" t="s">
        <v>1273</v>
      </c>
      <c r="F309" s="1" t="s">
        <v>1269</v>
      </c>
      <c r="G309" s="1">
        <v>110077</v>
      </c>
      <c r="H309" s="1">
        <v>525</v>
      </c>
    </row>
    <row r="310" spans="1:8" ht="21.75" customHeight="1">
      <c r="A310" s="1" t="str">
        <f>"1203230001023679"</f>
        <v>1203230001023679</v>
      </c>
      <c r="B310" s="1" t="s">
        <v>1274</v>
      </c>
      <c r="C310" s="1" t="s">
        <v>1275</v>
      </c>
      <c r="D310" s="1" t="s">
        <v>1276</v>
      </c>
      <c r="E310" s="1" t="s">
        <v>1277</v>
      </c>
      <c r="F310" s="1" t="s">
        <v>76</v>
      </c>
      <c r="G310" s="1">
        <v>110084</v>
      </c>
      <c r="H310" s="1">
        <v>11.25</v>
      </c>
    </row>
    <row r="311" spans="1:8" ht="21.75" customHeight="1">
      <c r="A311" s="1" t="str">
        <f>"1202060000158489"</f>
        <v>1202060000158489</v>
      </c>
      <c r="B311" s="1" t="s">
        <v>1278</v>
      </c>
      <c r="C311" s="1" t="s">
        <v>1279</v>
      </c>
      <c r="D311" s="1" t="s">
        <v>1280</v>
      </c>
      <c r="E311" s="1"/>
      <c r="F311" s="1" t="s">
        <v>76</v>
      </c>
      <c r="G311" s="1">
        <v>110085</v>
      </c>
      <c r="H311" s="1">
        <v>75</v>
      </c>
    </row>
    <row r="312" spans="1:8" ht="21.75" customHeight="1">
      <c r="A312" s="1" t="str">
        <f>"1206420012609478"</f>
        <v>1206420012609478</v>
      </c>
      <c r="B312" s="1" t="s">
        <v>1282</v>
      </c>
      <c r="C312" s="1" t="s">
        <v>1283</v>
      </c>
      <c r="D312" s="1"/>
      <c r="E312" s="1"/>
      <c r="F312" s="1" t="s">
        <v>85</v>
      </c>
      <c r="G312" s="1">
        <v>110085</v>
      </c>
      <c r="H312" s="1">
        <v>90</v>
      </c>
    </row>
    <row r="313" spans="1:8" ht="21.75" customHeight="1">
      <c r="A313" s="1" t="str">
        <f>"IN30327010713984"</f>
        <v>IN30327010713984</v>
      </c>
      <c r="B313" s="1" t="s">
        <v>1284</v>
      </c>
      <c r="C313" s="1" t="s">
        <v>1285</v>
      </c>
      <c r="D313" s="1" t="s">
        <v>1286</v>
      </c>
      <c r="E313" s="1" t="s">
        <v>1287</v>
      </c>
      <c r="F313" s="1"/>
      <c r="G313" s="1">
        <v>110085</v>
      </c>
      <c r="H313" s="1">
        <v>75</v>
      </c>
    </row>
    <row r="314" spans="1:8" ht="21.75" customHeight="1">
      <c r="A314" s="1" t="str">
        <f>"IN30388410005813"</f>
        <v>IN30388410005813</v>
      </c>
      <c r="B314" s="1" t="s">
        <v>1288</v>
      </c>
      <c r="C314" s="1" t="s">
        <v>1289</v>
      </c>
      <c r="D314" s="1" t="s">
        <v>1290</v>
      </c>
      <c r="E314" s="1" t="s">
        <v>76</v>
      </c>
      <c r="F314" s="1"/>
      <c r="G314" s="1">
        <v>110085</v>
      </c>
      <c r="H314" s="1">
        <v>15</v>
      </c>
    </row>
    <row r="315" spans="1:8" ht="21.75" customHeight="1">
      <c r="A315" s="1" t="str">
        <f>"1208870013178136"</f>
        <v>1208870013178136</v>
      </c>
      <c r="B315" s="1" t="s">
        <v>1291</v>
      </c>
      <c r="C315" s="1" t="s">
        <v>1292</v>
      </c>
      <c r="D315" s="1" t="s">
        <v>1293</v>
      </c>
      <c r="E315" s="1" t="s">
        <v>1294</v>
      </c>
      <c r="F315" s="1" t="s">
        <v>85</v>
      </c>
      <c r="G315" s="1">
        <v>110086</v>
      </c>
      <c r="H315" s="1">
        <v>7.5</v>
      </c>
    </row>
    <row r="316" spans="1:8" ht="21.75" customHeight="1">
      <c r="A316" s="1" t="str">
        <f>"1208870000179470"</f>
        <v>1208870000179470</v>
      </c>
      <c r="B316" s="1" t="s">
        <v>1295</v>
      </c>
      <c r="C316" s="1" t="s">
        <v>1296</v>
      </c>
      <c r="D316" s="1" t="s">
        <v>1297</v>
      </c>
      <c r="E316" s="1" t="s">
        <v>410</v>
      </c>
      <c r="F316" s="1" t="s">
        <v>1196</v>
      </c>
      <c r="G316" s="1">
        <v>110087</v>
      </c>
      <c r="H316" s="1">
        <v>57.75</v>
      </c>
    </row>
    <row r="317" spans="1:8" ht="21.75" customHeight="1">
      <c r="A317" s="1" t="str">
        <f>"1202060001270291"</f>
        <v>1202060001270291</v>
      </c>
      <c r="B317" s="1" t="s">
        <v>1298</v>
      </c>
      <c r="C317" s="1" t="s">
        <v>1299</v>
      </c>
      <c r="D317" s="1" t="s">
        <v>1280</v>
      </c>
      <c r="E317" s="1"/>
      <c r="F317" s="1" t="s">
        <v>76</v>
      </c>
      <c r="G317" s="1">
        <v>110088</v>
      </c>
      <c r="H317" s="1">
        <v>150</v>
      </c>
    </row>
    <row r="318" spans="1:8" ht="21.75" customHeight="1">
      <c r="A318" s="1" t="str">
        <f>"1203320012743007"</f>
        <v>1203320012743007</v>
      </c>
      <c r="B318" s="1" t="s">
        <v>1300</v>
      </c>
      <c r="C318" s="1" t="s">
        <v>1301</v>
      </c>
      <c r="D318" s="1" t="s">
        <v>1302</v>
      </c>
      <c r="E318" s="1"/>
      <c r="F318" s="1" t="s">
        <v>76</v>
      </c>
      <c r="G318" s="1">
        <v>110088</v>
      </c>
      <c r="H318" s="1">
        <v>15</v>
      </c>
    </row>
    <row r="319" spans="1:8" ht="21.75" customHeight="1">
      <c r="A319" s="1" t="str">
        <f>"1204190000231890"</f>
        <v>1204190000231890</v>
      </c>
      <c r="B319" s="1" t="s">
        <v>1303</v>
      </c>
      <c r="C319" s="1">
        <v>139</v>
      </c>
      <c r="D319" s="1" t="s">
        <v>1304</v>
      </c>
      <c r="E319" s="1" t="s">
        <v>76</v>
      </c>
      <c r="F319" s="1" t="s">
        <v>76</v>
      </c>
      <c r="G319" s="1">
        <v>110091</v>
      </c>
      <c r="H319" s="1">
        <v>12</v>
      </c>
    </row>
    <row r="320" spans="1:8" ht="21.75" customHeight="1">
      <c r="A320" s="1" t="str">
        <f>"IN30096610261632"</f>
        <v>IN30096610261632</v>
      </c>
      <c r="B320" s="1" t="s">
        <v>1305</v>
      </c>
      <c r="C320" s="1" t="s">
        <v>1306</v>
      </c>
      <c r="D320" s="1" t="s">
        <v>1307</v>
      </c>
      <c r="E320" s="1" t="s">
        <v>1308</v>
      </c>
      <c r="F320" s="1"/>
      <c r="G320" s="1">
        <v>110092</v>
      </c>
      <c r="H320" s="1">
        <v>37.5</v>
      </c>
    </row>
    <row r="321" spans="1:8" ht="21.75" customHeight="1">
      <c r="A321" s="1" t="str">
        <f>"IN30282210104636"</f>
        <v>IN30282210104636</v>
      </c>
      <c r="B321" s="1" t="s">
        <v>1309</v>
      </c>
      <c r="C321" s="1" t="s">
        <v>1310</v>
      </c>
      <c r="D321" s="1" t="s">
        <v>1311</v>
      </c>
      <c r="E321" s="1" t="s">
        <v>1312</v>
      </c>
      <c r="F321" s="1"/>
      <c r="G321" s="1">
        <v>110092</v>
      </c>
      <c r="H321" s="1">
        <v>225</v>
      </c>
    </row>
    <row r="322" spans="1:8" ht="21.75" customHeight="1">
      <c r="A322" s="1" t="str">
        <f>"1201090002105893"</f>
        <v>1201090002105893</v>
      </c>
      <c r="B322" s="1" t="s">
        <v>1313</v>
      </c>
      <c r="C322" s="1" t="s">
        <v>1314</v>
      </c>
      <c r="D322" s="1" t="s">
        <v>1315</v>
      </c>
      <c r="E322" s="1" t="s">
        <v>1316</v>
      </c>
      <c r="F322" s="1" t="s">
        <v>76</v>
      </c>
      <c r="G322" s="1">
        <v>110093</v>
      </c>
      <c r="H322" s="1">
        <v>11.25</v>
      </c>
    </row>
    <row r="323" spans="1:8" ht="21.75" customHeight="1">
      <c r="A323" s="1" t="str">
        <f>"IN30051320718694"</f>
        <v>IN30051320718694</v>
      </c>
      <c r="B323" s="1" t="s">
        <v>1317</v>
      </c>
      <c r="C323" s="1" t="s">
        <v>1318</v>
      </c>
      <c r="D323" s="1" t="s">
        <v>1319</v>
      </c>
      <c r="E323" s="1" t="s">
        <v>1163</v>
      </c>
      <c r="F323" s="1"/>
      <c r="G323" s="1">
        <v>110093</v>
      </c>
      <c r="H323" s="1">
        <v>15</v>
      </c>
    </row>
    <row r="324" spans="1:8" ht="21.75" customHeight="1">
      <c r="A324" s="1" t="str">
        <f>"IN30051319716142"</f>
        <v>IN30051319716142</v>
      </c>
      <c r="B324" s="1" t="s">
        <v>1320</v>
      </c>
      <c r="C324" s="1" t="s">
        <v>1321</v>
      </c>
      <c r="D324" s="1"/>
      <c r="E324" s="1" t="s">
        <v>1322</v>
      </c>
      <c r="F324" s="1"/>
      <c r="G324" s="1">
        <v>110095</v>
      </c>
      <c r="H324" s="1">
        <v>1.5</v>
      </c>
    </row>
    <row r="325" spans="1:8" ht="21.75" customHeight="1">
      <c r="A325" s="1" t="str">
        <f>"IN30429525339806"</f>
        <v>IN30429525339806</v>
      </c>
      <c r="B325" s="1" t="s">
        <v>1323</v>
      </c>
      <c r="C325" s="1" t="s">
        <v>1324</v>
      </c>
      <c r="D325" s="1" t="s">
        <v>1325</v>
      </c>
      <c r="E325" s="1" t="s">
        <v>1121</v>
      </c>
      <c r="F325" s="1"/>
      <c r="G325" s="1">
        <v>111111</v>
      </c>
      <c r="H325" s="1">
        <v>9.25</v>
      </c>
    </row>
    <row r="326" spans="1:8" ht="21.75" customHeight="1">
      <c r="A326" s="1" t="str">
        <f>"IN30023913166947"</f>
        <v>IN30023913166947</v>
      </c>
      <c r="B326" s="1" t="s">
        <v>1326</v>
      </c>
      <c r="C326" s="1" t="s">
        <v>1327</v>
      </c>
      <c r="D326" s="1" t="s">
        <v>1328</v>
      </c>
      <c r="E326" s="1" t="s">
        <v>1329</v>
      </c>
      <c r="F326" s="1"/>
      <c r="G326" s="1">
        <v>111111</v>
      </c>
      <c r="H326" s="1">
        <v>118</v>
      </c>
    </row>
    <row r="327" spans="1:8" ht="21.75" customHeight="1">
      <c r="A327" s="1" t="str">
        <f>"IN30429514768889"</f>
        <v>IN30429514768889</v>
      </c>
      <c r="B327" s="1" t="s">
        <v>1330</v>
      </c>
      <c r="C327" s="1" t="s">
        <v>1331</v>
      </c>
      <c r="D327" s="1" t="s">
        <v>1332</v>
      </c>
      <c r="E327" s="1" t="s">
        <v>1333</v>
      </c>
      <c r="F327" s="1"/>
      <c r="G327" s="1">
        <v>121004</v>
      </c>
      <c r="H327" s="1">
        <v>0.75</v>
      </c>
    </row>
    <row r="328" spans="1:8" ht="21.75" customHeight="1">
      <c r="A328" s="1" t="str">
        <f>"1203320068634874"</f>
        <v>1203320068634874</v>
      </c>
      <c r="B328" s="1" t="s">
        <v>1334</v>
      </c>
      <c r="C328" s="1" t="s">
        <v>1335</v>
      </c>
      <c r="D328" s="1" t="s">
        <v>1336</v>
      </c>
      <c r="E328" s="1" t="s">
        <v>1337</v>
      </c>
      <c r="F328" s="1" t="s">
        <v>1333</v>
      </c>
      <c r="G328" s="1">
        <v>121005</v>
      </c>
      <c r="H328" s="1">
        <v>26.25</v>
      </c>
    </row>
    <row r="329" spans="1:8" ht="21.75" customHeight="1">
      <c r="A329" s="1" t="str">
        <f>"1208160030219537"</f>
        <v>1208160030219537</v>
      </c>
      <c r="B329" s="1" t="s">
        <v>1338</v>
      </c>
      <c r="C329" s="1" t="s">
        <v>1339</v>
      </c>
      <c r="D329" s="1" t="s">
        <v>1340</v>
      </c>
      <c r="E329" s="1"/>
      <c r="F329" s="1" t="s">
        <v>1341</v>
      </c>
      <c r="G329" s="1">
        <v>121102</v>
      </c>
      <c r="H329" s="1">
        <v>0.75</v>
      </c>
    </row>
    <row r="330" spans="1:8" ht="21.75" customHeight="1">
      <c r="A330" s="1" t="str">
        <f>"1201700000193357"</f>
        <v>1201700000193357</v>
      </c>
      <c r="B330" s="1" t="s">
        <v>1342</v>
      </c>
      <c r="C330" s="1" t="s">
        <v>1343</v>
      </c>
      <c r="D330" s="1"/>
      <c r="E330" s="1"/>
      <c r="F330" s="1" t="s">
        <v>75</v>
      </c>
      <c r="G330" s="1">
        <v>122001</v>
      </c>
      <c r="H330" s="1">
        <v>101.25</v>
      </c>
    </row>
    <row r="331" spans="1:8" ht="21.75" customHeight="1">
      <c r="A331" s="1" t="str">
        <f>"1201090001643172"</f>
        <v>1201090001643172</v>
      </c>
      <c r="B331" s="1" t="s">
        <v>1344</v>
      </c>
      <c r="C331" s="1" t="s">
        <v>1345</v>
      </c>
      <c r="D331" s="1" t="s">
        <v>75</v>
      </c>
      <c r="E331" s="1" t="s">
        <v>1346</v>
      </c>
      <c r="F331" s="1" t="s">
        <v>75</v>
      </c>
      <c r="G331" s="1">
        <v>122001</v>
      </c>
      <c r="H331" s="1">
        <v>45</v>
      </c>
    </row>
    <row r="332" spans="1:8" ht="21.75" customHeight="1">
      <c r="A332" s="1" t="str">
        <f>"1208870006942562"</f>
        <v>1208870006942562</v>
      </c>
      <c r="B332" s="1" t="s">
        <v>1347</v>
      </c>
      <c r="C332" s="1" t="s">
        <v>1348</v>
      </c>
      <c r="D332" s="1" t="s">
        <v>1349</v>
      </c>
      <c r="E332" s="1" t="s">
        <v>1350</v>
      </c>
      <c r="F332" s="1" t="s">
        <v>75</v>
      </c>
      <c r="G332" s="1">
        <v>122001</v>
      </c>
      <c r="H332" s="1">
        <v>55.5</v>
      </c>
    </row>
    <row r="333" spans="1:8" ht="21.75" customHeight="1">
      <c r="A333" s="1" t="str">
        <f>"IN30039418119141"</f>
        <v>IN30039418119141</v>
      </c>
      <c r="B333" s="1" t="s">
        <v>1352</v>
      </c>
      <c r="C333" s="1" t="s">
        <v>1353</v>
      </c>
      <c r="D333" s="1" t="s">
        <v>1354</v>
      </c>
      <c r="E333" s="1" t="s">
        <v>1355</v>
      </c>
      <c r="F333" s="1"/>
      <c r="G333" s="1">
        <v>122001</v>
      </c>
      <c r="H333" s="1">
        <v>26.25</v>
      </c>
    </row>
    <row r="334" spans="1:8" ht="21.75" customHeight="1">
      <c r="A334" s="1" t="str">
        <f>"IN30051323422127"</f>
        <v>IN30051323422127</v>
      </c>
      <c r="B334" s="1" t="s">
        <v>1356</v>
      </c>
      <c r="C334" s="1" t="s">
        <v>1357</v>
      </c>
      <c r="D334" s="1" t="s">
        <v>1358</v>
      </c>
      <c r="E334" s="1" t="s">
        <v>1359</v>
      </c>
      <c r="F334" s="1"/>
      <c r="G334" s="1">
        <v>122001</v>
      </c>
      <c r="H334" s="1">
        <v>0.75</v>
      </c>
    </row>
    <row r="335" spans="1:8" ht="21.75" customHeight="1">
      <c r="A335" s="1" t="str">
        <f>"IN30429514758026"</f>
        <v>IN30429514758026</v>
      </c>
      <c r="B335" s="1" t="s">
        <v>1360</v>
      </c>
      <c r="C335" s="1" t="s">
        <v>1361</v>
      </c>
      <c r="D335" s="1"/>
      <c r="E335" s="1" t="s">
        <v>75</v>
      </c>
      <c r="F335" s="1"/>
      <c r="G335" s="1">
        <v>122001</v>
      </c>
      <c r="H335" s="1">
        <v>0.75</v>
      </c>
    </row>
    <row r="336" spans="1:8" ht="21.75" customHeight="1">
      <c r="A336" s="1" t="str">
        <f>"1204920002040185"</f>
        <v>1204920002040185</v>
      </c>
      <c r="B336" s="1" t="s">
        <v>1362</v>
      </c>
      <c r="C336" s="1" t="s">
        <v>1363</v>
      </c>
      <c r="D336" s="1" t="s">
        <v>1364</v>
      </c>
      <c r="E336" s="1" t="s">
        <v>1365</v>
      </c>
      <c r="F336" s="1" t="s">
        <v>1366</v>
      </c>
      <c r="G336" s="1">
        <v>122017</v>
      </c>
      <c r="H336" s="1">
        <v>7.5</v>
      </c>
    </row>
    <row r="337" spans="1:8" ht="21.75" customHeight="1">
      <c r="A337" s="1" t="str">
        <f>"1203320069703979"</f>
        <v>1203320069703979</v>
      </c>
      <c r="B337" s="1" t="s">
        <v>1367</v>
      </c>
      <c r="C337" s="1" t="s">
        <v>1368</v>
      </c>
      <c r="D337" s="1"/>
      <c r="E337" s="1"/>
      <c r="F337" s="1" t="s">
        <v>1366</v>
      </c>
      <c r="G337" s="1">
        <v>122101</v>
      </c>
      <c r="H337" s="1">
        <v>285</v>
      </c>
    </row>
    <row r="338" spans="1:8" ht="21.75" customHeight="1">
      <c r="A338" s="1" t="str">
        <f>"1208180037834534"</f>
        <v>1208180037834534</v>
      </c>
      <c r="B338" s="1" t="s">
        <v>1369</v>
      </c>
      <c r="C338" s="1" t="s">
        <v>1370</v>
      </c>
      <c r="D338" s="1" t="s">
        <v>1371</v>
      </c>
      <c r="E338" s="1"/>
      <c r="F338" s="1" t="s">
        <v>1366</v>
      </c>
      <c r="G338" s="1">
        <v>122505</v>
      </c>
      <c r="H338" s="1">
        <v>18.75</v>
      </c>
    </row>
    <row r="339" spans="1:8" ht="21.75" customHeight="1">
      <c r="A339" s="1" t="str">
        <f>"1208160058816053"</f>
        <v>1208160058816053</v>
      </c>
      <c r="B339" s="1" t="s">
        <v>1373</v>
      </c>
      <c r="C339" s="1" t="s">
        <v>1374</v>
      </c>
      <c r="D339" s="1" t="s">
        <v>1375</v>
      </c>
      <c r="E339" s="1"/>
      <c r="F339" s="1" t="s">
        <v>1372</v>
      </c>
      <c r="G339" s="1">
        <v>123302</v>
      </c>
      <c r="H339" s="1">
        <v>45.75</v>
      </c>
    </row>
    <row r="340" spans="1:8" ht="21.75" customHeight="1">
      <c r="A340" s="1" t="str">
        <f>"1208160034096925"</f>
        <v>1208160034096925</v>
      </c>
      <c r="B340" s="1" t="s">
        <v>1378</v>
      </c>
      <c r="C340" s="1" t="s">
        <v>1379</v>
      </c>
      <c r="D340" s="1" t="s">
        <v>1380</v>
      </c>
      <c r="E340" s="1" t="s">
        <v>1381</v>
      </c>
      <c r="F340" s="1" t="s">
        <v>1377</v>
      </c>
      <c r="G340" s="1">
        <v>124001</v>
      </c>
      <c r="H340" s="1">
        <v>45</v>
      </c>
    </row>
    <row r="341" spans="1:8" ht="21.75" customHeight="1">
      <c r="A341" s="1" t="str">
        <f>"1601430104255093"</f>
        <v>1601430104255093</v>
      </c>
      <c r="B341" s="1" t="s">
        <v>1383</v>
      </c>
      <c r="C341" s="1" t="s">
        <v>1384</v>
      </c>
      <c r="D341" s="1" t="s">
        <v>1385</v>
      </c>
      <c r="E341" s="1"/>
      <c r="F341" s="1" t="s">
        <v>1382</v>
      </c>
      <c r="G341" s="1">
        <v>124103</v>
      </c>
      <c r="H341" s="1">
        <v>153.75</v>
      </c>
    </row>
    <row r="342" spans="1:8" ht="21.75" customHeight="1">
      <c r="A342" s="1" t="str">
        <f>"1208870001609157"</f>
        <v>1208870001609157</v>
      </c>
      <c r="B342" s="1" t="s">
        <v>1386</v>
      </c>
      <c r="C342" s="1" t="s">
        <v>1387</v>
      </c>
      <c r="D342" s="1" t="s">
        <v>410</v>
      </c>
      <c r="E342" s="1" t="s">
        <v>410</v>
      </c>
      <c r="F342" s="1" t="s">
        <v>1382</v>
      </c>
      <c r="G342" s="1">
        <v>124103</v>
      </c>
      <c r="H342" s="1">
        <v>3.75</v>
      </c>
    </row>
    <row r="343" spans="1:8" ht="21.75" customHeight="1">
      <c r="A343" s="1" t="str">
        <f>"IN30236511303031"</f>
        <v>IN30236511303031</v>
      </c>
      <c r="B343" s="1" t="s">
        <v>1388</v>
      </c>
      <c r="C343" s="1" t="s">
        <v>1389</v>
      </c>
      <c r="D343" s="1" t="s">
        <v>1390</v>
      </c>
      <c r="E343" s="1" t="s">
        <v>1391</v>
      </c>
      <c r="F343" s="1"/>
      <c r="G343" s="1">
        <v>124103</v>
      </c>
      <c r="H343" s="1">
        <v>150</v>
      </c>
    </row>
    <row r="344" spans="1:8" ht="21.75" customHeight="1">
      <c r="A344" s="1" t="str">
        <f>"1204470011749982"</f>
        <v>1204470011749982</v>
      </c>
      <c r="B344" s="1" t="s">
        <v>1393</v>
      </c>
      <c r="C344" s="1" t="s">
        <v>1394</v>
      </c>
      <c r="D344" s="1" t="s">
        <v>1382</v>
      </c>
      <c r="E344" s="1"/>
      <c r="F344" s="1" t="s">
        <v>1377</v>
      </c>
      <c r="G344" s="1">
        <v>124501</v>
      </c>
      <c r="H344" s="1">
        <v>0.75</v>
      </c>
    </row>
    <row r="345" spans="1:8" ht="21.75" customHeight="1">
      <c r="A345" s="1" t="str">
        <f>"1203320030705263"</f>
        <v>1203320030705263</v>
      </c>
      <c r="B345" s="1" t="s">
        <v>1395</v>
      </c>
      <c r="C345" s="1" t="s">
        <v>1396</v>
      </c>
      <c r="D345" s="1" t="s">
        <v>1397</v>
      </c>
      <c r="E345" s="1" t="s">
        <v>109</v>
      </c>
      <c r="F345" s="1" t="s">
        <v>1377</v>
      </c>
      <c r="G345" s="1">
        <v>124501</v>
      </c>
      <c r="H345" s="1">
        <v>75</v>
      </c>
    </row>
    <row r="346" spans="1:8" ht="21.75" customHeight="1">
      <c r="A346" s="1" t="str">
        <f>"1204370000954698"</f>
        <v>1204370000954698</v>
      </c>
      <c r="B346" s="1" t="s">
        <v>1398</v>
      </c>
      <c r="C346" s="1" t="s">
        <v>1399</v>
      </c>
      <c r="D346" s="1" t="s">
        <v>1400</v>
      </c>
      <c r="E346" s="1" t="s">
        <v>1401</v>
      </c>
      <c r="F346" s="1" t="s">
        <v>108</v>
      </c>
      <c r="G346" s="1">
        <v>125001</v>
      </c>
      <c r="H346" s="1">
        <v>75</v>
      </c>
    </row>
    <row r="347" spans="1:8" ht="21.75" customHeight="1">
      <c r="A347" s="1" t="str">
        <f>"IN30429526139076"</f>
        <v>IN30429526139076</v>
      </c>
      <c r="B347" s="1" t="s">
        <v>1402</v>
      </c>
      <c r="C347" s="1" t="s">
        <v>1403</v>
      </c>
      <c r="D347" s="1" t="s">
        <v>1404</v>
      </c>
      <c r="E347" s="1" t="s">
        <v>1405</v>
      </c>
      <c r="F347" s="1"/>
      <c r="G347" s="1">
        <v>125001</v>
      </c>
      <c r="H347" s="1">
        <v>15</v>
      </c>
    </row>
    <row r="348" spans="1:8" ht="21.75" customHeight="1">
      <c r="A348" s="1" t="str">
        <f>"1204720006208956"</f>
        <v>1204720006208956</v>
      </c>
      <c r="B348" s="1" t="s">
        <v>1406</v>
      </c>
      <c r="C348" s="1" t="s">
        <v>1407</v>
      </c>
      <c r="D348" s="1" t="s">
        <v>1408</v>
      </c>
      <c r="E348" s="1"/>
      <c r="F348" s="1" t="s">
        <v>104</v>
      </c>
      <c r="G348" s="1">
        <v>125037</v>
      </c>
      <c r="H348" s="1">
        <v>61.5</v>
      </c>
    </row>
    <row r="349" spans="1:8" ht="21.75" customHeight="1">
      <c r="A349" s="1" t="str">
        <f>"IN30226911892448"</f>
        <v>IN30226911892448</v>
      </c>
      <c r="B349" s="1" t="s">
        <v>1409</v>
      </c>
      <c r="C349" s="1" t="s">
        <v>1410</v>
      </c>
      <c r="D349" s="1" t="s">
        <v>1411</v>
      </c>
      <c r="E349" s="1" t="s">
        <v>1346</v>
      </c>
      <c r="F349" s="1"/>
      <c r="G349" s="1">
        <v>125055</v>
      </c>
      <c r="H349" s="1">
        <v>3</v>
      </c>
    </row>
    <row r="350" spans="1:8" ht="21.75" customHeight="1">
      <c r="A350" s="1" t="str">
        <f>"1208870082905999"</f>
        <v>1208870082905999</v>
      </c>
      <c r="B350" s="1" t="s">
        <v>1413</v>
      </c>
      <c r="C350" s="1" t="s">
        <v>1414</v>
      </c>
      <c r="D350" s="1" t="s">
        <v>1415</v>
      </c>
      <c r="E350" s="1" t="s">
        <v>1416</v>
      </c>
      <c r="F350" s="1" t="s">
        <v>1412</v>
      </c>
      <c r="G350" s="1">
        <v>125055</v>
      </c>
      <c r="H350" s="1">
        <v>0.75</v>
      </c>
    </row>
    <row r="351" spans="1:8" ht="21.75" customHeight="1">
      <c r="A351" s="1" t="str">
        <f>"IN30177419207803"</f>
        <v>IN30177419207803</v>
      </c>
      <c r="B351" s="1" t="s">
        <v>1417</v>
      </c>
      <c r="C351" s="1" t="s">
        <v>1418</v>
      </c>
      <c r="D351" s="1" t="s">
        <v>1419</v>
      </c>
      <c r="E351" s="1" t="s">
        <v>1420</v>
      </c>
      <c r="F351" s="1"/>
      <c r="G351" s="1">
        <v>125121</v>
      </c>
      <c r="H351" s="1">
        <v>30</v>
      </c>
    </row>
    <row r="352" spans="1:8" ht="21.75" customHeight="1">
      <c r="A352" s="1" t="str">
        <f>"1208870077930665"</f>
        <v>1208870077930665</v>
      </c>
      <c r="B352" s="1" t="s">
        <v>1422</v>
      </c>
      <c r="C352" s="1" t="s">
        <v>1423</v>
      </c>
      <c r="D352" s="1" t="s">
        <v>1424</v>
      </c>
      <c r="E352" s="1" t="s">
        <v>410</v>
      </c>
      <c r="F352" s="1" t="s">
        <v>1421</v>
      </c>
      <c r="G352" s="1">
        <v>127021</v>
      </c>
      <c r="H352" s="1">
        <v>22.5</v>
      </c>
    </row>
    <row r="353" spans="1:8" ht="21.75" customHeight="1">
      <c r="A353" s="1" t="str">
        <f>"1204470006325909"</f>
        <v>1204470006325909</v>
      </c>
      <c r="B353" s="1" t="s">
        <v>1425</v>
      </c>
      <c r="C353" s="1" t="s">
        <v>1426</v>
      </c>
      <c r="D353" s="1"/>
      <c r="E353" s="1"/>
      <c r="F353" s="1" t="s">
        <v>1421</v>
      </c>
      <c r="G353" s="1">
        <v>127021</v>
      </c>
      <c r="H353" s="1">
        <v>3.75</v>
      </c>
    </row>
    <row r="354" spans="1:8" ht="21.75" customHeight="1">
      <c r="A354" s="1" t="str">
        <f>"1208870021711502"</f>
        <v>1208870021711502</v>
      </c>
      <c r="B354" s="1" t="s">
        <v>1427</v>
      </c>
      <c r="C354" s="1" t="s">
        <v>1428</v>
      </c>
      <c r="D354" s="1" t="s">
        <v>1429</v>
      </c>
      <c r="E354" s="1" t="s">
        <v>410</v>
      </c>
      <c r="F354" s="1" t="s">
        <v>1421</v>
      </c>
      <c r="G354" s="1">
        <v>127027</v>
      </c>
      <c r="H354" s="1">
        <v>150</v>
      </c>
    </row>
    <row r="355" spans="1:8" ht="21.75" customHeight="1">
      <c r="A355" s="1" t="str">
        <f>"1208160005772439"</f>
        <v>1208160005772439</v>
      </c>
      <c r="B355" s="1" t="s">
        <v>1430</v>
      </c>
      <c r="C355" s="1" t="s">
        <v>1431</v>
      </c>
      <c r="D355" s="1" t="s">
        <v>1432</v>
      </c>
      <c r="E355" s="1"/>
      <c r="F355" s="1" t="s">
        <v>1433</v>
      </c>
      <c r="G355" s="1">
        <v>127046</v>
      </c>
      <c r="H355" s="1">
        <v>1.5</v>
      </c>
    </row>
    <row r="356" spans="1:8" ht="21.75" customHeight="1">
      <c r="A356" s="1" t="str">
        <f>"1208870033537586"</f>
        <v>1208870033537586</v>
      </c>
      <c r="B356" s="1" t="s">
        <v>1434</v>
      </c>
      <c r="C356" s="1" t="s">
        <v>1435</v>
      </c>
      <c r="D356" s="1" t="s">
        <v>1436</v>
      </c>
      <c r="E356" s="1" t="s">
        <v>1421</v>
      </c>
      <c r="F356" s="1" t="s">
        <v>1421</v>
      </c>
      <c r="G356" s="1">
        <v>127111</v>
      </c>
      <c r="H356" s="1">
        <v>18.75</v>
      </c>
    </row>
    <row r="357" spans="1:8" ht="21.75" customHeight="1">
      <c r="A357" s="1" t="str">
        <f>"IN30051387034630"</f>
        <v>IN30051387034630</v>
      </c>
      <c r="B357" s="1" t="s">
        <v>1437</v>
      </c>
      <c r="C357" s="1" t="s">
        <v>1438</v>
      </c>
      <c r="D357" s="1" t="s">
        <v>1439</v>
      </c>
      <c r="E357" s="1" t="s">
        <v>1440</v>
      </c>
      <c r="F357" s="1"/>
      <c r="G357" s="1">
        <v>127741</v>
      </c>
      <c r="H357" s="1">
        <v>12</v>
      </c>
    </row>
    <row r="358" spans="1:8" ht="21.75" customHeight="1">
      <c r="A358" s="1" t="str">
        <f>"1203320036579126"</f>
        <v>1203320036579126</v>
      </c>
      <c r="B358" s="1" t="s">
        <v>1442</v>
      </c>
      <c r="C358" s="1" t="s">
        <v>1443</v>
      </c>
      <c r="D358" s="1" t="s">
        <v>1444</v>
      </c>
      <c r="E358" s="1"/>
      <c r="F358" s="1" t="s">
        <v>1441</v>
      </c>
      <c r="G358" s="1">
        <v>131001</v>
      </c>
      <c r="H358" s="1">
        <v>75</v>
      </c>
    </row>
    <row r="359" spans="1:8" ht="21.75" customHeight="1">
      <c r="A359" s="1" t="str">
        <f>"1208180015739136"</f>
        <v>1208180015739136</v>
      </c>
      <c r="B359" s="1" t="s">
        <v>1445</v>
      </c>
      <c r="C359" s="1" t="s">
        <v>1446</v>
      </c>
      <c r="D359" s="1" t="s">
        <v>1447</v>
      </c>
      <c r="E359" s="1"/>
      <c r="F359" s="1" t="s">
        <v>1441</v>
      </c>
      <c r="G359" s="1">
        <v>131301</v>
      </c>
      <c r="H359" s="1">
        <v>2.25</v>
      </c>
    </row>
    <row r="360" spans="1:8" ht="21.75" customHeight="1">
      <c r="A360" s="1" t="str">
        <f>"1201060003585205"</f>
        <v>1201060003585205</v>
      </c>
      <c r="B360" s="1" t="s">
        <v>1449</v>
      </c>
      <c r="C360" s="1" t="s">
        <v>1450</v>
      </c>
      <c r="D360" s="1" t="s">
        <v>1451</v>
      </c>
      <c r="E360" s="1" t="s">
        <v>1346</v>
      </c>
      <c r="F360" s="1" t="s">
        <v>1448</v>
      </c>
      <c r="G360" s="1">
        <v>132114</v>
      </c>
      <c r="H360" s="1">
        <v>2.25</v>
      </c>
    </row>
    <row r="361" spans="1:8" ht="21.75" customHeight="1">
      <c r="A361" s="1" t="str">
        <f>"1208160009841107"</f>
        <v>1208160009841107</v>
      </c>
      <c r="B361" s="1" t="s">
        <v>1453</v>
      </c>
      <c r="C361" s="1" t="s">
        <v>1454</v>
      </c>
      <c r="D361" s="1" t="s">
        <v>1455</v>
      </c>
      <c r="E361" s="1"/>
      <c r="F361" s="1" t="s">
        <v>1452</v>
      </c>
      <c r="G361" s="1">
        <v>133004</v>
      </c>
      <c r="H361" s="1">
        <v>0.75</v>
      </c>
    </row>
    <row r="362" spans="1:8" ht="21.75" customHeight="1">
      <c r="A362" s="1" t="str">
        <f>"1204920002363300"</f>
        <v>1204920002363300</v>
      </c>
      <c r="B362" s="1" t="s">
        <v>1456</v>
      </c>
      <c r="C362" s="1" t="s">
        <v>1457</v>
      </c>
      <c r="D362" s="1" t="s">
        <v>1458</v>
      </c>
      <c r="E362" s="1" t="s">
        <v>1459</v>
      </c>
      <c r="F362" s="1" t="s">
        <v>1452</v>
      </c>
      <c r="G362" s="1">
        <v>134003</v>
      </c>
      <c r="H362" s="1">
        <v>0.75</v>
      </c>
    </row>
    <row r="363" spans="1:8" ht="21.75" customHeight="1">
      <c r="A363" s="1" t="str">
        <f>"IN30198310915150"</f>
        <v>IN30198310915150</v>
      </c>
      <c r="B363" s="1" t="s">
        <v>1460</v>
      </c>
      <c r="C363" s="1" t="s">
        <v>1461</v>
      </c>
      <c r="D363" s="1" t="s">
        <v>1462</v>
      </c>
      <c r="E363" s="1" t="s">
        <v>1463</v>
      </c>
      <c r="F363" s="1"/>
      <c r="G363" s="1">
        <v>134003</v>
      </c>
      <c r="H363" s="1">
        <v>1.5</v>
      </c>
    </row>
    <row r="364" spans="1:8" ht="21.75" customHeight="1">
      <c r="A364" s="1" t="str">
        <f>"1208870006856057"</f>
        <v>1208870006856057</v>
      </c>
      <c r="B364" s="1" t="s">
        <v>711</v>
      </c>
      <c r="C364" s="1" t="s">
        <v>1464</v>
      </c>
      <c r="D364" s="1" t="s">
        <v>1465</v>
      </c>
      <c r="E364" s="1" t="s">
        <v>410</v>
      </c>
      <c r="F364" s="1" t="s">
        <v>1452</v>
      </c>
      <c r="G364" s="1">
        <v>134007</v>
      </c>
      <c r="H364" s="1">
        <v>0.75</v>
      </c>
    </row>
    <row r="365" spans="1:8" ht="21.75" customHeight="1">
      <c r="A365" s="1" t="str">
        <f>"IN30114310006765"</f>
        <v>IN30114310006765</v>
      </c>
      <c r="B365" s="1" t="s">
        <v>1467</v>
      </c>
      <c r="C365" s="1">
        <v>470</v>
      </c>
      <c r="D365" s="1" t="s">
        <v>1468</v>
      </c>
      <c r="E365" s="1" t="s">
        <v>1469</v>
      </c>
      <c r="F365" s="1"/>
      <c r="G365" s="1">
        <v>134109</v>
      </c>
      <c r="H365" s="1">
        <v>22.5</v>
      </c>
    </row>
    <row r="366" spans="1:8" ht="21.75" customHeight="1">
      <c r="A366" s="1" t="str">
        <f>"1208250001160725"</f>
        <v>1208250001160725</v>
      </c>
      <c r="B366" s="1" t="s">
        <v>1470</v>
      </c>
      <c r="C366" s="1" t="s">
        <v>1471</v>
      </c>
      <c r="D366" s="1" t="s">
        <v>1472</v>
      </c>
      <c r="E366" s="1"/>
      <c r="F366" s="1" t="s">
        <v>110</v>
      </c>
      <c r="G366" s="1">
        <v>134109</v>
      </c>
      <c r="H366" s="1">
        <v>0.75</v>
      </c>
    </row>
    <row r="367" spans="1:8" ht="21.75" customHeight="1">
      <c r="A367" s="1" t="str">
        <f>"IN30160411461669"</f>
        <v>IN30160411461669</v>
      </c>
      <c r="B367" s="1" t="s">
        <v>1473</v>
      </c>
      <c r="C367" s="1" t="s">
        <v>1474</v>
      </c>
      <c r="D367" s="1" t="s">
        <v>1475</v>
      </c>
      <c r="E367" s="1" t="s">
        <v>1476</v>
      </c>
      <c r="F367" s="1"/>
      <c r="G367" s="1">
        <v>135001</v>
      </c>
      <c r="H367" s="1">
        <v>3.75</v>
      </c>
    </row>
    <row r="368" spans="1:8" ht="21.75" customHeight="1">
      <c r="A368" s="1" t="str">
        <f>"IN30429521023455"</f>
        <v>IN30429521023455</v>
      </c>
      <c r="B368" s="1" t="s">
        <v>1477</v>
      </c>
      <c r="C368" s="1" t="s">
        <v>1478</v>
      </c>
      <c r="D368" s="1" t="s">
        <v>1479</v>
      </c>
      <c r="E368" s="1" t="s">
        <v>1480</v>
      </c>
      <c r="F368" s="1"/>
      <c r="G368" s="1">
        <v>136118</v>
      </c>
      <c r="H368" s="1">
        <v>15.75</v>
      </c>
    </row>
    <row r="369" spans="1:8" ht="21.75" customHeight="1">
      <c r="A369" s="1" t="str">
        <f>"1203760000510001"</f>
        <v>1203760000510001</v>
      </c>
      <c r="B369" s="1" t="s">
        <v>1482</v>
      </c>
      <c r="C369" s="1" t="s">
        <v>1483</v>
      </c>
      <c r="D369" s="1" t="s">
        <v>1484</v>
      </c>
      <c r="E369" s="1" t="s">
        <v>1485</v>
      </c>
      <c r="F369" s="1" t="s">
        <v>1481</v>
      </c>
      <c r="G369" s="1">
        <v>140401</v>
      </c>
      <c r="H369" s="1">
        <v>75</v>
      </c>
    </row>
    <row r="370" spans="1:8" ht="21.75" customHeight="1">
      <c r="A370" s="1" t="str">
        <f>"1203840000859203"</f>
        <v>1203840000859203</v>
      </c>
      <c r="B370" s="1" t="s">
        <v>1486</v>
      </c>
      <c r="C370" s="1" t="s">
        <v>1487</v>
      </c>
      <c r="D370" s="1" t="s">
        <v>1488</v>
      </c>
      <c r="E370" s="1" t="s">
        <v>1489</v>
      </c>
      <c r="F370" s="1" t="s">
        <v>1376</v>
      </c>
      <c r="G370" s="1">
        <v>141001</v>
      </c>
      <c r="H370" s="1">
        <v>7.5</v>
      </c>
    </row>
    <row r="371" spans="1:8" ht="21.75" customHeight="1">
      <c r="A371" s="1" t="str">
        <f>"1202540000309705"</f>
        <v>1202540000309705</v>
      </c>
      <c r="B371" s="1" t="s">
        <v>1490</v>
      </c>
      <c r="C371" s="1">
        <v>495</v>
      </c>
      <c r="D371" s="1" t="s">
        <v>1491</v>
      </c>
      <c r="E371" s="1" t="s">
        <v>1492</v>
      </c>
      <c r="F371" s="1" t="s">
        <v>1376</v>
      </c>
      <c r="G371" s="1">
        <v>141001</v>
      </c>
      <c r="H371" s="1">
        <v>825</v>
      </c>
    </row>
    <row r="372" spans="1:8" ht="21.75" customHeight="1">
      <c r="A372" s="1" t="str">
        <f>"IN30021414346777"</f>
        <v>IN30021414346777</v>
      </c>
      <c r="B372" s="1" t="s">
        <v>1493</v>
      </c>
      <c r="C372" s="1" t="s">
        <v>1494</v>
      </c>
      <c r="D372" s="1" t="s">
        <v>1495</v>
      </c>
      <c r="E372" s="1" t="s">
        <v>1496</v>
      </c>
      <c r="F372" s="1"/>
      <c r="G372" s="1">
        <v>141001</v>
      </c>
      <c r="H372" s="1">
        <v>75</v>
      </c>
    </row>
    <row r="373" spans="1:8" ht="21.75" customHeight="1">
      <c r="A373" s="1" t="str">
        <f>"1208160026498808"</f>
        <v>1208160026498808</v>
      </c>
      <c r="B373" s="1" t="s">
        <v>1493</v>
      </c>
      <c r="C373" s="1" t="s">
        <v>1497</v>
      </c>
      <c r="D373" s="1" t="s">
        <v>1498</v>
      </c>
      <c r="E373" s="1"/>
      <c r="F373" s="1" t="s">
        <v>1376</v>
      </c>
      <c r="G373" s="1">
        <v>141002</v>
      </c>
      <c r="H373" s="1">
        <v>0.75</v>
      </c>
    </row>
    <row r="374" spans="1:8" ht="21.75" customHeight="1">
      <c r="A374" s="1" t="str">
        <f>"1203230001367407"</f>
        <v>1203230001367407</v>
      </c>
      <c r="B374" s="1" t="s">
        <v>1499</v>
      </c>
      <c r="C374" s="1" t="s">
        <v>1500</v>
      </c>
      <c r="D374" s="1" t="s">
        <v>1501</v>
      </c>
      <c r="E374" s="1"/>
      <c r="F374" s="1" t="s">
        <v>1376</v>
      </c>
      <c r="G374" s="1">
        <v>141008</v>
      </c>
      <c r="H374" s="1">
        <v>202</v>
      </c>
    </row>
    <row r="375" spans="1:8" ht="21.75" customHeight="1">
      <c r="A375" s="1" t="str">
        <f>"1204470008847067"</f>
        <v>1204470008847067</v>
      </c>
      <c r="B375" s="1" t="s">
        <v>1502</v>
      </c>
      <c r="C375" s="1" t="s">
        <v>1503</v>
      </c>
      <c r="D375" s="1" t="s">
        <v>1376</v>
      </c>
      <c r="E375" s="1" t="s">
        <v>1504</v>
      </c>
      <c r="F375" s="1" t="s">
        <v>1376</v>
      </c>
      <c r="G375" s="1">
        <v>141412</v>
      </c>
      <c r="H375" s="1">
        <v>123.75</v>
      </c>
    </row>
    <row r="376" spans="1:8" ht="21.75" customHeight="1">
      <c r="A376" s="1" t="str">
        <f>"IN30429514550958"</f>
        <v>IN30429514550958</v>
      </c>
      <c r="B376" s="1" t="s">
        <v>1505</v>
      </c>
      <c r="C376" s="1" t="s">
        <v>1506</v>
      </c>
      <c r="D376" s="1"/>
      <c r="E376" s="1" t="s">
        <v>115</v>
      </c>
      <c r="F376" s="1"/>
      <c r="G376" s="1">
        <v>143001</v>
      </c>
      <c r="H376" s="1">
        <v>3</v>
      </c>
    </row>
    <row r="377" spans="1:8" ht="21.75" customHeight="1">
      <c r="A377" s="1" t="str">
        <f>"IN30114310711626"</f>
        <v>IN30114310711626</v>
      </c>
      <c r="B377" s="1" t="s">
        <v>1507</v>
      </c>
      <c r="C377" s="1" t="s">
        <v>1508</v>
      </c>
      <c r="D377" s="1" t="s">
        <v>1509</v>
      </c>
      <c r="E377" s="1" t="s">
        <v>1510</v>
      </c>
      <c r="F377" s="1"/>
      <c r="G377" s="1">
        <v>144001</v>
      </c>
      <c r="H377" s="1">
        <v>20.25</v>
      </c>
    </row>
    <row r="378" spans="1:8" ht="21.75" customHeight="1">
      <c r="A378" s="1" t="str">
        <f>"1208160023836961"</f>
        <v>1208160023836961</v>
      </c>
      <c r="B378" s="1" t="s">
        <v>1512</v>
      </c>
      <c r="C378" s="1" t="s">
        <v>1513</v>
      </c>
      <c r="D378" s="1" t="s">
        <v>410</v>
      </c>
      <c r="E378" s="1"/>
      <c r="F378" s="1" t="s">
        <v>1511</v>
      </c>
      <c r="G378" s="1">
        <v>144205</v>
      </c>
      <c r="H378" s="1">
        <v>5.25</v>
      </c>
    </row>
    <row r="379" spans="1:8" ht="21.75" customHeight="1">
      <c r="A379" s="1" t="str">
        <f>"1208160028878262"</f>
        <v>1208160028878262</v>
      </c>
      <c r="B379" s="1" t="s">
        <v>1514</v>
      </c>
      <c r="C379" s="1" t="s">
        <v>1515</v>
      </c>
      <c r="D379" s="1" t="s">
        <v>1516</v>
      </c>
      <c r="E379" s="1"/>
      <c r="F379" s="1" t="s">
        <v>1511</v>
      </c>
      <c r="G379" s="1">
        <v>144221</v>
      </c>
      <c r="H379" s="1">
        <v>0.75</v>
      </c>
    </row>
    <row r="380" spans="1:8" ht="21.75" customHeight="1">
      <c r="A380" s="1" t="str">
        <f>"IN30114311948402"</f>
        <v>IN30114311948402</v>
      </c>
      <c r="B380" s="1" t="s">
        <v>1517</v>
      </c>
      <c r="C380" s="1" t="s">
        <v>1518</v>
      </c>
      <c r="D380" s="1" t="s">
        <v>1519</v>
      </c>
      <c r="E380" s="1" t="s">
        <v>1520</v>
      </c>
      <c r="F380" s="1"/>
      <c r="G380" s="1">
        <v>147001</v>
      </c>
      <c r="H380" s="1">
        <v>11.25</v>
      </c>
    </row>
    <row r="381" spans="1:8" ht="21.75" customHeight="1">
      <c r="A381" s="1" t="str">
        <f>"IN30236510246110"</f>
        <v>IN30236510246110</v>
      </c>
      <c r="B381" s="1" t="s">
        <v>1521</v>
      </c>
      <c r="C381" s="1" t="s">
        <v>1522</v>
      </c>
      <c r="D381" s="1" t="s">
        <v>1523</v>
      </c>
      <c r="E381" s="1" t="s">
        <v>1524</v>
      </c>
      <c r="F381" s="1"/>
      <c r="G381" s="1">
        <v>147001</v>
      </c>
      <c r="H381" s="1">
        <v>75</v>
      </c>
    </row>
    <row r="382" spans="1:8" ht="21.75" customHeight="1">
      <c r="A382" s="1" t="str">
        <f>"1208870038490011"</f>
        <v>1208870038490011</v>
      </c>
      <c r="B382" s="1" t="s">
        <v>1525</v>
      </c>
      <c r="C382" s="1" t="s">
        <v>1526</v>
      </c>
      <c r="D382" s="1" t="s">
        <v>1527</v>
      </c>
      <c r="E382" s="1" t="s">
        <v>1528</v>
      </c>
      <c r="F382" s="1" t="s">
        <v>1481</v>
      </c>
      <c r="G382" s="1">
        <v>147001</v>
      </c>
      <c r="H382" s="1">
        <v>0.75</v>
      </c>
    </row>
    <row r="383" spans="1:8" ht="21.75" customHeight="1">
      <c r="A383" s="1" t="str">
        <f>"1203320013239635"</f>
        <v>1203320013239635</v>
      </c>
      <c r="B383" s="1" t="s">
        <v>1529</v>
      </c>
      <c r="C383" s="1" t="s">
        <v>1530</v>
      </c>
      <c r="D383" s="1"/>
      <c r="E383" s="1"/>
      <c r="F383" s="1" t="s">
        <v>1481</v>
      </c>
      <c r="G383" s="1">
        <v>147001</v>
      </c>
      <c r="H383" s="1">
        <v>3.75</v>
      </c>
    </row>
    <row r="384" spans="1:8" ht="21.75" customHeight="1">
      <c r="A384" s="1" t="str">
        <f>"IN30021437353198"</f>
        <v>IN30021437353198</v>
      </c>
      <c r="B384" s="1" t="s">
        <v>1531</v>
      </c>
      <c r="C384" s="1" t="s">
        <v>1532</v>
      </c>
      <c r="D384" s="1" t="s">
        <v>1533</v>
      </c>
      <c r="E384" s="1" t="s">
        <v>1534</v>
      </c>
      <c r="F384" s="1"/>
      <c r="G384" s="1">
        <v>147101</v>
      </c>
      <c r="H384" s="1">
        <v>1.5</v>
      </c>
    </row>
    <row r="385" spans="1:8" ht="21.75" customHeight="1">
      <c r="A385" s="1" t="str">
        <f>"IN30177411026218"</f>
        <v>IN30177411026218</v>
      </c>
      <c r="B385" s="1" t="s">
        <v>1535</v>
      </c>
      <c r="C385" s="1" t="s">
        <v>1536</v>
      </c>
      <c r="D385" s="1" t="s">
        <v>1537</v>
      </c>
      <c r="E385" s="1" t="s">
        <v>1538</v>
      </c>
      <c r="F385" s="1"/>
      <c r="G385" s="1">
        <v>148021</v>
      </c>
      <c r="H385" s="1">
        <v>7.5</v>
      </c>
    </row>
    <row r="386" spans="1:8" ht="21.75" customHeight="1">
      <c r="A386" s="1" t="str">
        <f>"1203320083043554"</f>
        <v>1203320083043554</v>
      </c>
      <c r="B386" s="1" t="s">
        <v>1540</v>
      </c>
      <c r="C386" s="1" t="s">
        <v>1541</v>
      </c>
      <c r="D386" s="1" t="s">
        <v>1542</v>
      </c>
      <c r="E386" s="1"/>
      <c r="F386" s="1" t="s">
        <v>1539</v>
      </c>
      <c r="G386" s="1">
        <v>151502</v>
      </c>
      <c r="H386" s="1">
        <v>5.25</v>
      </c>
    </row>
    <row r="387" spans="1:8" ht="21.75" customHeight="1">
      <c r="A387" s="1" t="str">
        <f>"1208180010595036"</f>
        <v>1208180010595036</v>
      </c>
      <c r="B387" s="1" t="s">
        <v>1544</v>
      </c>
      <c r="C387" s="1" t="s">
        <v>1545</v>
      </c>
      <c r="D387" s="1" t="s">
        <v>1546</v>
      </c>
      <c r="E387" s="1"/>
      <c r="F387" s="1" t="s">
        <v>1543</v>
      </c>
      <c r="G387" s="1">
        <v>152002</v>
      </c>
      <c r="H387" s="1">
        <v>4.5</v>
      </c>
    </row>
    <row r="388" spans="1:8" ht="21.75" customHeight="1">
      <c r="A388" s="1" t="str">
        <f>"IN30226911741154"</f>
        <v>IN30226911741154</v>
      </c>
      <c r="B388" s="1" t="s">
        <v>1547</v>
      </c>
      <c r="C388" s="1" t="s">
        <v>1548</v>
      </c>
      <c r="D388" s="1" t="s">
        <v>1549</v>
      </c>
      <c r="E388" s="1" t="s">
        <v>1550</v>
      </c>
      <c r="F388" s="1"/>
      <c r="G388" s="1">
        <v>160018</v>
      </c>
      <c r="H388" s="1">
        <v>3274.25</v>
      </c>
    </row>
    <row r="389" spans="1:8" ht="21.75" customHeight="1">
      <c r="A389" s="1" t="str">
        <f>"IN30302870348338"</f>
        <v>IN30302870348338</v>
      </c>
      <c r="B389" s="1" t="s">
        <v>1551</v>
      </c>
      <c r="C389" s="1" t="s">
        <v>1552</v>
      </c>
      <c r="D389" s="1" t="s">
        <v>1553</v>
      </c>
      <c r="E389" s="1" t="s">
        <v>1554</v>
      </c>
      <c r="F389" s="1"/>
      <c r="G389" s="1">
        <v>160055</v>
      </c>
      <c r="H389" s="1">
        <v>0.75</v>
      </c>
    </row>
    <row r="390" spans="1:8" ht="21.75" customHeight="1">
      <c r="A390" s="1" t="str">
        <f>"1205420002086651"</f>
        <v>1205420002086651</v>
      </c>
      <c r="B390" s="1" t="s">
        <v>1555</v>
      </c>
      <c r="C390" s="1" t="s">
        <v>1556</v>
      </c>
      <c r="D390" s="1" t="s">
        <v>1557</v>
      </c>
      <c r="E390" s="1" t="s">
        <v>1558</v>
      </c>
      <c r="F390" s="1" t="s">
        <v>12</v>
      </c>
      <c r="G390" s="1">
        <v>160062</v>
      </c>
      <c r="H390" s="1">
        <v>9.75</v>
      </c>
    </row>
    <row r="391" spans="1:8" ht="21.75" customHeight="1">
      <c r="A391" s="1" t="str">
        <f>"IN30039417753152"</f>
        <v>IN30039417753152</v>
      </c>
      <c r="B391" s="1" t="s">
        <v>1559</v>
      </c>
      <c r="C391" s="1" t="s">
        <v>1560</v>
      </c>
      <c r="D391" s="1" t="s">
        <v>1561</v>
      </c>
      <c r="E391" s="1" t="s">
        <v>1562</v>
      </c>
      <c r="F391" s="1"/>
      <c r="G391" s="1">
        <v>171004</v>
      </c>
      <c r="H391" s="1">
        <v>10.5</v>
      </c>
    </row>
    <row r="392" spans="1:8" ht="21.75" customHeight="1">
      <c r="A392" s="1" t="str">
        <f>"1208250014907751"</f>
        <v>1208250014907751</v>
      </c>
      <c r="B392" s="1" t="s">
        <v>1563</v>
      </c>
      <c r="C392" s="1" t="s">
        <v>1564</v>
      </c>
      <c r="D392" s="1" t="s">
        <v>1562</v>
      </c>
      <c r="E392" s="1"/>
      <c r="F392" s="1" t="s">
        <v>1562</v>
      </c>
      <c r="G392" s="1">
        <v>171209</v>
      </c>
      <c r="H392" s="1">
        <v>0.75</v>
      </c>
    </row>
    <row r="393" spans="1:8" ht="21.75" customHeight="1">
      <c r="A393" s="1" t="str">
        <f>"1207830000437061"</f>
        <v>1207830000437061</v>
      </c>
      <c r="B393" s="1" t="s">
        <v>1566</v>
      </c>
      <c r="C393" s="1" t="s">
        <v>1567</v>
      </c>
      <c r="D393" s="1" t="s">
        <v>1568</v>
      </c>
      <c r="E393" s="1" t="s">
        <v>1569</v>
      </c>
      <c r="F393" s="1" t="s">
        <v>1565</v>
      </c>
      <c r="G393" s="1">
        <v>173001</v>
      </c>
      <c r="H393" s="1">
        <v>22.5</v>
      </c>
    </row>
    <row r="394" spans="1:8" ht="21.75" customHeight="1">
      <c r="A394" s="1" t="str">
        <f>"IN30429523085734"</f>
        <v>IN30429523085734</v>
      </c>
      <c r="B394" s="1" t="s">
        <v>1570</v>
      </c>
      <c r="C394" s="1" t="s">
        <v>1571</v>
      </c>
      <c r="D394" s="1" t="s">
        <v>1572</v>
      </c>
      <c r="E394" s="1" t="s">
        <v>1573</v>
      </c>
      <c r="F394" s="1"/>
      <c r="G394" s="1">
        <v>173213</v>
      </c>
      <c r="H394" s="1">
        <v>11.25</v>
      </c>
    </row>
    <row r="395" spans="1:8" ht="21.75" customHeight="1">
      <c r="A395" s="1" t="str">
        <f>"1201090004547265"</f>
        <v>1201090004547265</v>
      </c>
      <c r="B395" s="1" t="s">
        <v>1575</v>
      </c>
      <c r="C395" s="1" t="s">
        <v>1576</v>
      </c>
      <c r="D395" s="1" t="s">
        <v>1577</v>
      </c>
      <c r="E395" s="1" t="s">
        <v>1578</v>
      </c>
      <c r="F395" s="1" t="s">
        <v>1574</v>
      </c>
      <c r="G395" s="1">
        <v>176045</v>
      </c>
      <c r="H395" s="1">
        <v>68.25</v>
      </c>
    </row>
    <row r="396" spans="1:8" ht="21.75" customHeight="1">
      <c r="A396" s="1" t="str">
        <f>"1208870017747284"</f>
        <v>1208870017747284</v>
      </c>
      <c r="B396" s="1" t="s">
        <v>1580</v>
      </c>
      <c r="C396" s="1" t="s">
        <v>1581</v>
      </c>
      <c r="D396" s="1" t="s">
        <v>1582</v>
      </c>
      <c r="E396" s="1" t="s">
        <v>1583</v>
      </c>
      <c r="F396" s="1" t="s">
        <v>1579</v>
      </c>
      <c r="G396" s="1">
        <v>177001</v>
      </c>
      <c r="H396" s="1">
        <v>1.5</v>
      </c>
    </row>
    <row r="397" spans="1:8" ht="21.75" customHeight="1">
      <c r="A397" s="1" t="str">
        <f>"IN30236510819992"</f>
        <v>IN30236510819992</v>
      </c>
      <c r="B397" s="1" t="s">
        <v>1584</v>
      </c>
      <c r="C397" s="1" t="s">
        <v>1585</v>
      </c>
      <c r="D397" s="1" t="s">
        <v>1586</v>
      </c>
      <c r="E397" s="1" t="s">
        <v>1587</v>
      </c>
      <c r="F397" s="1"/>
      <c r="G397" s="1">
        <v>180007</v>
      </c>
      <c r="H397" s="1">
        <v>300</v>
      </c>
    </row>
    <row r="398" spans="1:8" ht="21.75" customHeight="1">
      <c r="A398" s="1" t="str">
        <f>"IN30236510298699"</f>
        <v>IN30236510298699</v>
      </c>
      <c r="B398" s="1" t="s">
        <v>1588</v>
      </c>
      <c r="C398" s="1" t="s">
        <v>1589</v>
      </c>
      <c r="D398" s="1" t="s">
        <v>1590</v>
      </c>
      <c r="E398" s="1" t="s">
        <v>1591</v>
      </c>
      <c r="F398" s="1"/>
      <c r="G398" s="1">
        <v>201001</v>
      </c>
      <c r="H398" s="1">
        <v>15</v>
      </c>
    </row>
    <row r="399" spans="1:8" ht="21.75" customHeight="1">
      <c r="A399" s="1" t="str">
        <f>"IN30021420735450"</f>
        <v>IN30021420735450</v>
      </c>
      <c r="B399" s="1" t="s">
        <v>1592</v>
      </c>
      <c r="C399" s="1" t="s">
        <v>1593</v>
      </c>
      <c r="D399" s="1" t="s">
        <v>1594</v>
      </c>
      <c r="E399" s="1" t="s">
        <v>1595</v>
      </c>
      <c r="F399" s="1"/>
      <c r="G399" s="1">
        <v>201002</v>
      </c>
      <c r="H399" s="1">
        <v>15</v>
      </c>
    </row>
    <row r="400" spans="1:8" ht="21.75" customHeight="1">
      <c r="A400" s="1" t="str">
        <f>"1208250002084766"</f>
        <v>1208250002084766</v>
      </c>
      <c r="B400" s="1" t="s">
        <v>1596</v>
      </c>
      <c r="C400" s="1" t="s">
        <v>1597</v>
      </c>
      <c r="D400" s="1" t="s">
        <v>124</v>
      </c>
      <c r="E400" s="1" t="s">
        <v>1598</v>
      </c>
      <c r="F400" s="1" t="s">
        <v>124</v>
      </c>
      <c r="G400" s="1">
        <v>201009</v>
      </c>
      <c r="H400" s="1">
        <v>7.5</v>
      </c>
    </row>
    <row r="401" spans="1:8" ht="21.75" customHeight="1">
      <c r="A401" s="1" t="str">
        <f>"IN30429514764419"</f>
        <v>IN30429514764419</v>
      </c>
      <c r="B401" s="1" t="s">
        <v>1425</v>
      </c>
      <c r="C401" s="1" t="s">
        <v>1599</v>
      </c>
      <c r="D401" s="1" t="s">
        <v>1600</v>
      </c>
      <c r="E401" s="1" t="s">
        <v>1601</v>
      </c>
      <c r="F401" s="1"/>
      <c r="G401" s="1">
        <v>201009</v>
      </c>
      <c r="H401" s="1">
        <v>0.75</v>
      </c>
    </row>
    <row r="402" spans="1:8" ht="21.75" customHeight="1">
      <c r="A402" s="1" t="str">
        <f>"1208160056255956"</f>
        <v>1208160056255956</v>
      </c>
      <c r="B402" s="1" t="s">
        <v>1602</v>
      </c>
      <c r="C402" s="1" t="s">
        <v>1603</v>
      </c>
      <c r="D402" s="1" t="s">
        <v>1604</v>
      </c>
      <c r="E402" s="1"/>
      <c r="F402" s="1" t="s">
        <v>124</v>
      </c>
      <c r="G402" s="1">
        <v>201010</v>
      </c>
      <c r="H402" s="1">
        <v>9</v>
      </c>
    </row>
    <row r="403" spans="1:8" ht="21.75" customHeight="1">
      <c r="A403" s="1" t="str">
        <f>"1203320007289350"</f>
        <v>1203320007289350</v>
      </c>
      <c r="B403" s="1" t="s">
        <v>1605</v>
      </c>
      <c r="C403" s="1" t="s">
        <v>1606</v>
      </c>
      <c r="D403" s="1" t="s">
        <v>1607</v>
      </c>
      <c r="E403" s="1"/>
      <c r="F403" s="1" t="s">
        <v>124</v>
      </c>
      <c r="G403" s="1">
        <v>201012</v>
      </c>
      <c r="H403" s="1">
        <v>22.5</v>
      </c>
    </row>
    <row r="404" spans="1:8" ht="21.75" customHeight="1">
      <c r="A404" s="1" t="str">
        <f>"1208160029901431"</f>
        <v>1208160029901431</v>
      </c>
      <c r="B404" s="1" t="s">
        <v>1608</v>
      </c>
      <c r="C404" s="1" t="s">
        <v>1609</v>
      </c>
      <c r="D404" s="1" t="s">
        <v>1610</v>
      </c>
      <c r="E404" s="1"/>
      <c r="F404" s="1" t="s">
        <v>124</v>
      </c>
      <c r="G404" s="1">
        <v>201012</v>
      </c>
      <c r="H404" s="1">
        <v>7.5</v>
      </c>
    </row>
    <row r="405" spans="1:8" ht="21.75" customHeight="1">
      <c r="A405" s="1" t="str">
        <f>"1202990006104511"</f>
        <v>1202990006104511</v>
      </c>
      <c r="B405" s="1" t="s">
        <v>1611</v>
      </c>
      <c r="C405" s="1" t="s">
        <v>1612</v>
      </c>
      <c r="D405" s="1" t="s">
        <v>1613</v>
      </c>
      <c r="E405" s="1" t="s">
        <v>1614</v>
      </c>
      <c r="F405" s="1" t="s">
        <v>1615</v>
      </c>
      <c r="G405" s="1">
        <v>201301</v>
      </c>
      <c r="H405" s="1">
        <v>7.5</v>
      </c>
    </row>
    <row r="406" spans="1:8" ht="21.75" customHeight="1">
      <c r="A406" s="1" t="str">
        <f>"IN30051381593305"</f>
        <v>IN30051381593305</v>
      </c>
      <c r="B406" s="1" t="s">
        <v>1616</v>
      </c>
      <c r="C406" s="1" t="s">
        <v>1617</v>
      </c>
      <c r="D406" s="1" t="s">
        <v>1618</v>
      </c>
      <c r="E406" s="1" t="s">
        <v>1619</v>
      </c>
      <c r="F406" s="1"/>
      <c r="G406" s="1">
        <v>201301</v>
      </c>
      <c r="H406" s="1">
        <v>75</v>
      </c>
    </row>
    <row r="407" spans="1:8" ht="21.75" customHeight="1">
      <c r="A407" s="1" t="str">
        <f>"IN30429514743686"</f>
        <v>IN30429514743686</v>
      </c>
      <c r="B407" s="1" t="s">
        <v>1620</v>
      </c>
      <c r="C407" s="1" t="s">
        <v>1621</v>
      </c>
      <c r="D407" s="1" t="s">
        <v>1622</v>
      </c>
      <c r="E407" s="1" t="s">
        <v>1203</v>
      </c>
      <c r="F407" s="1"/>
      <c r="G407" s="1">
        <v>201301</v>
      </c>
      <c r="H407" s="1">
        <v>0.75</v>
      </c>
    </row>
    <row r="408" spans="1:8" ht="21.75" customHeight="1">
      <c r="A408" s="1" t="str">
        <f>"IN30429517042869"</f>
        <v>IN30429517042869</v>
      </c>
      <c r="B408" s="1" t="s">
        <v>1623</v>
      </c>
      <c r="C408" s="1" t="s">
        <v>1624</v>
      </c>
      <c r="D408" s="1"/>
      <c r="E408" s="1" t="s">
        <v>1625</v>
      </c>
      <c r="F408" s="1"/>
      <c r="G408" s="1">
        <v>201301</v>
      </c>
      <c r="H408" s="1">
        <v>1.5</v>
      </c>
    </row>
    <row r="409" spans="1:8" ht="21.75" customHeight="1">
      <c r="A409" s="1" t="str">
        <f>"1204920001853031"</f>
        <v>1204920001853031</v>
      </c>
      <c r="B409" s="1" t="s">
        <v>1627</v>
      </c>
      <c r="C409" s="1" t="s">
        <v>1628</v>
      </c>
      <c r="D409" s="1" t="s">
        <v>1629</v>
      </c>
      <c r="E409" s="1"/>
      <c r="F409" s="1" t="s">
        <v>1626</v>
      </c>
      <c r="G409" s="1">
        <v>201304</v>
      </c>
      <c r="H409" s="1">
        <v>7.5</v>
      </c>
    </row>
    <row r="410" spans="1:8" ht="21.75" customHeight="1">
      <c r="A410" s="1" t="str">
        <f>"IN30429514772187"</f>
        <v>IN30429514772187</v>
      </c>
      <c r="B410" s="1" t="s">
        <v>1630</v>
      </c>
      <c r="C410" s="1" t="s">
        <v>1631</v>
      </c>
      <c r="D410" s="1" t="s">
        <v>1632</v>
      </c>
      <c r="E410" s="1" t="s">
        <v>1633</v>
      </c>
      <c r="F410" s="1"/>
      <c r="G410" s="1">
        <v>201306</v>
      </c>
      <c r="H410" s="1">
        <v>0.75</v>
      </c>
    </row>
    <row r="411" spans="1:8" ht="21.75" customHeight="1">
      <c r="A411" s="1" t="str">
        <f>"1203320023223672"</f>
        <v>1203320023223672</v>
      </c>
      <c r="B411" s="1" t="s">
        <v>1635</v>
      </c>
      <c r="C411" s="1" t="s">
        <v>1636</v>
      </c>
      <c r="D411" s="1" t="s">
        <v>1637</v>
      </c>
      <c r="E411" s="1" t="s">
        <v>1634</v>
      </c>
      <c r="F411" s="1" t="s">
        <v>1634</v>
      </c>
      <c r="G411" s="1">
        <v>203001</v>
      </c>
      <c r="H411" s="1">
        <v>52.5</v>
      </c>
    </row>
    <row r="412" spans="1:8" ht="21.75" customHeight="1">
      <c r="A412" s="1" t="str">
        <f>"1208250005802582"</f>
        <v>1208250005802582</v>
      </c>
      <c r="B412" s="1" t="s">
        <v>1639</v>
      </c>
      <c r="C412" s="1" t="s">
        <v>1640</v>
      </c>
      <c r="D412" s="1" t="s">
        <v>1641</v>
      </c>
      <c r="E412" s="1"/>
      <c r="F412" s="1" t="s">
        <v>1638</v>
      </c>
      <c r="G412" s="1">
        <v>207123</v>
      </c>
      <c r="H412" s="1">
        <v>0.75</v>
      </c>
    </row>
    <row r="413" spans="1:8" ht="21.75" customHeight="1">
      <c r="A413" s="1" t="str">
        <f>"IN30051321385041"</f>
        <v>IN30051321385041</v>
      </c>
      <c r="B413" s="1" t="s">
        <v>1642</v>
      </c>
      <c r="C413" s="1" t="s">
        <v>1643</v>
      </c>
      <c r="D413" s="1" t="s">
        <v>1644</v>
      </c>
      <c r="E413" s="1" t="s">
        <v>1645</v>
      </c>
      <c r="F413" s="1"/>
      <c r="G413" s="1">
        <v>208001</v>
      </c>
      <c r="H413" s="1">
        <v>7.5</v>
      </c>
    </row>
    <row r="414" spans="1:8" ht="21.75" customHeight="1">
      <c r="A414" s="1" t="str">
        <f>"1208160070008511"</f>
        <v>1208160070008511</v>
      </c>
      <c r="B414" s="1" t="s">
        <v>1647</v>
      </c>
      <c r="C414" s="1" t="s">
        <v>1648</v>
      </c>
      <c r="D414" s="1"/>
      <c r="E414" s="1"/>
      <c r="F414" s="1" t="s">
        <v>1646</v>
      </c>
      <c r="G414" s="1">
        <v>208011</v>
      </c>
      <c r="H414" s="1">
        <v>15</v>
      </c>
    </row>
    <row r="415" spans="1:8" ht="21.75" customHeight="1">
      <c r="A415" s="1" t="str">
        <f>"IN30133021148423"</f>
        <v>IN30133021148423</v>
      </c>
      <c r="B415" s="1" t="s">
        <v>1650</v>
      </c>
      <c r="C415" s="1" t="s">
        <v>1651</v>
      </c>
      <c r="D415" s="1" t="s">
        <v>1652</v>
      </c>
      <c r="E415" s="1" t="s">
        <v>1653</v>
      </c>
      <c r="F415" s="1"/>
      <c r="G415" s="1">
        <v>208014</v>
      </c>
      <c r="H415" s="1">
        <v>348.75</v>
      </c>
    </row>
    <row r="416" spans="1:8" ht="21.75" customHeight="1">
      <c r="A416" s="1" t="str">
        <f>"1208870012072309"</f>
        <v>1208870012072309</v>
      </c>
      <c r="B416" s="1" t="s">
        <v>1655</v>
      </c>
      <c r="C416" s="1" t="s">
        <v>1656</v>
      </c>
      <c r="D416" s="1" t="s">
        <v>1657</v>
      </c>
      <c r="E416" s="1" t="s">
        <v>1658</v>
      </c>
      <c r="F416" s="1" t="s">
        <v>1654</v>
      </c>
      <c r="G416" s="1">
        <v>208020</v>
      </c>
      <c r="H416" s="1">
        <v>0.75</v>
      </c>
    </row>
    <row r="417" spans="1:8" ht="21.75" customHeight="1">
      <c r="A417" s="1" t="str">
        <f>"1208870016447423"</f>
        <v>1208870016447423</v>
      </c>
      <c r="B417" s="1" t="s">
        <v>1661</v>
      </c>
      <c r="C417" s="1" t="s">
        <v>1662</v>
      </c>
      <c r="D417" s="1" t="s">
        <v>1663</v>
      </c>
      <c r="E417" s="1" t="s">
        <v>1664</v>
      </c>
      <c r="F417" s="1" t="s">
        <v>1660</v>
      </c>
      <c r="G417" s="1">
        <v>209727</v>
      </c>
      <c r="H417" s="1">
        <v>7.5</v>
      </c>
    </row>
    <row r="418" spans="1:8" ht="21.75" customHeight="1">
      <c r="A418" s="1" t="str">
        <f>"1208160007172041"</f>
        <v>1208160007172041</v>
      </c>
      <c r="B418" s="1" t="s">
        <v>1666</v>
      </c>
      <c r="C418" s="1" t="s">
        <v>1667</v>
      </c>
      <c r="D418" s="1" t="s">
        <v>1668</v>
      </c>
      <c r="E418" s="1" t="s">
        <v>1669</v>
      </c>
      <c r="F418" s="1" t="s">
        <v>1665</v>
      </c>
      <c r="G418" s="1">
        <v>211004</v>
      </c>
      <c r="H418" s="1">
        <v>1.5</v>
      </c>
    </row>
    <row r="419" spans="1:8" ht="21.75" customHeight="1">
      <c r="A419" s="1" t="str">
        <f>"1208160024268341"</f>
        <v>1208160024268341</v>
      </c>
      <c r="B419" s="1" t="s">
        <v>1670</v>
      </c>
      <c r="C419" s="1" t="s">
        <v>1671</v>
      </c>
      <c r="D419" s="1"/>
      <c r="E419" s="1"/>
      <c r="F419" s="1" t="s">
        <v>1665</v>
      </c>
      <c r="G419" s="1">
        <v>211004</v>
      </c>
      <c r="H419" s="1">
        <v>48</v>
      </c>
    </row>
    <row r="420" spans="1:8" ht="21.75" customHeight="1">
      <c r="A420" s="1" t="str">
        <f>"1203760000016921"</f>
        <v>1203760000016921</v>
      </c>
      <c r="B420" s="1" t="s">
        <v>1672</v>
      </c>
      <c r="C420" s="1" t="s">
        <v>1673</v>
      </c>
      <c r="D420" s="1" t="s">
        <v>1674</v>
      </c>
      <c r="E420" s="1" t="s">
        <v>1675</v>
      </c>
      <c r="F420" s="1" t="s">
        <v>1665</v>
      </c>
      <c r="G420" s="1">
        <v>211008</v>
      </c>
      <c r="H420" s="1">
        <v>30</v>
      </c>
    </row>
    <row r="421" spans="1:8" ht="21.75" customHeight="1">
      <c r="A421" s="1" t="str">
        <f>"1208870062257917"</f>
        <v>1208870062257917</v>
      </c>
      <c r="B421" s="1" t="s">
        <v>1676</v>
      </c>
      <c r="C421" s="1" t="s">
        <v>1677</v>
      </c>
      <c r="D421" s="1" t="s">
        <v>1678</v>
      </c>
      <c r="E421" s="1" t="s">
        <v>1679</v>
      </c>
      <c r="F421" s="1" t="s">
        <v>1665</v>
      </c>
      <c r="G421" s="1">
        <v>211008</v>
      </c>
      <c r="H421" s="1">
        <v>9.75</v>
      </c>
    </row>
    <row r="422" spans="1:8" ht="21.75" customHeight="1">
      <c r="A422" s="1" t="str">
        <f>"IN30429527017729"</f>
        <v>IN30429527017729</v>
      </c>
      <c r="B422" s="1" t="s">
        <v>1680</v>
      </c>
      <c r="C422" s="1" t="s">
        <v>1681</v>
      </c>
      <c r="D422" s="1" t="s">
        <v>1682</v>
      </c>
      <c r="E422" s="1" t="s">
        <v>1683</v>
      </c>
      <c r="F422" s="1"/>
      <c r="G422" s="1">
        <v>211011</v>
      </c>
      <c r="H422" s="1">
        <v>8.25</v>
      </c>
    </row>
    <row r="423" spans="1:8" ht="21.75" customHeight="1">
      <c r="A423" s="1" t="str">
        <f>"1203320056481026"</f>
        <v>1203320056481026</v>
      </c>
      <c r="B423" s="1" t="s">
        <v>1684</v>
      </c>
      <c r="C423" s="1" t="s">
        <v>1685</v>
      </c>
      <c r="D423" s="1" t="s">
        <v>1686</v>
      </c>
      <c r="E423" s="1" t="s">
        <v>1687</v>
      </c>
      <c r="F423" s="1" t="s">
        <v>1665</v>
      </c>
      <c r="G423" s="1">
        <v>212213</v>
      </c>
      <c r="H423" s="1">
        <v>3.75</v>
      </c>
    </row>
    <row r="424" spans="1:8" ht="21.75" customHeight="1">
      <c r="A424" s="1" t="str">
        <f>"1201910101439175"</f>
        <v>1201910101439175</v>
      </c>
      <c r="B424" s="1" t="s">
        <v>1551</v>
      </c>
      <c r="C424" s="1" t="s">
        <v>1688</v>
      </c>
      <c r="D424" s="1" t="s">
        <v>1689</v>
      </c>
      <c r="E424" s="1" t="s">
        <v>1690</v>
      </c>
      <c r="F424" s="1" t="s">
        <v>1691</v>
      </c>
      <c r="G424" s="1">
        <v>216000</v>
      </c>
      <c r="H424" s="1">
        <v>178</v>
      </c>
    </row>
    <row r="425" spans="1:8" ht="21.75" customHeight="1">
      <c r="A425" s="1" t="str">
        <f>"1202470000494842"</f>
        <v>1202470000494842</v>
      </c>
      <c r="B425" s="1" t="s">
        <v>1693</v>
      </c>
      <c r="C425" s="1" t="s">
        <v>1694</v>
      </c>
      <c r="D425" s="1" t="s">
        <v>1695</v>
      </c>
      <c r="E425" s="1"/>
      <c r="F425" s="1" t="s">
        <v>723</v>
      </c>
      <c r="G425" s="1">
        <v>221001</v>
      </c>
      <c r="H425" s="1">
        <v>375</v>
      </c>
    </row>
    <row r="426" spans="1:8" ht="21.75" customHeight="1">
      <c r="A426" s="1" t="str">
        <f>"1205910000268436"</f>
        <v>1205910000268436</v>
      </c>
      <c r="B426" s="1" t="s">
        <v>1696</v>
      </c>
      <c r="C426" s="1" t="s">
        <v>1697</v>
      </c>
      <c r="D426" s="1"/>
      <c r="E426" s="1"/>
      <c r="F426" s="1" t="s">
        <v>723</v>
      </c>
      <c r="G426" s="1">
        <v>221001</v>
      </c>
      <c r="H426" s="1">
        <v>75</v>
      </c>
    </row>
    <row r="427" spans="1:8" ht="21.75" customHeight="1">
      <c r="A427" s="1" t="str">
        <f>"IN30429524341336"</f>
        <v>IN30429524341336</v>
      </c>
      <c r="B427" s="1" t="s">
        <v>1698</v>
      </c>
      <c r="C427" s="1" t="s">
        <v>1699</v>
      </c>
      <c r="D427" s="1" t="s">
        <v>1700</v>
      </c>
      <c r="E427" s="1" t="s">
        <v>1701</v>
      </c>
      <c r="F427" s="1"/>
      <c r="G427" s="1">
        <v>221002</v>
      </c>
      <c r="H427" s="1">
        <v>6</v>
      </c>
    </row>
    <row r="428" spans="1:8" ht="21.75" customHeight="1">
      <c r="A428" s="1" t="str">
        <f>"1208870001709975"</f>
        <v>1208870001709975</v>
      </c>
      <c r="B428" s="1" t="s">
        <v>1702</v>
      </c>
      <c r="C428" s="1" t="s">
        <v>1703</v>
      </c>
      <c r="D428" s="1" t="s">
        <v>410</v>
      </c>
      <c r="E428" s="1" t="s">
        <v>410</v>
      </c>
      <c r="F428" s="1" t="s">
        <v>723</v>
      </c>
      <c r="G428" s="1">
        <v>221002</v>
      </c>
      <c r="H428" s="1">
        <v>19.5</v>
      </c>
    </row>
    <row r="429" spans="1:8" ht="21.75" customHeight="1">
      <c r="A429" s="1" t="str">
        <f>"IN30429525016526"</f>
        <v>IN30429525016526</v>
      </c>
      <c r="B429" s="1" t="s">
        <v>1704</v>
      </c>
      <c r="C429" s="1" t="s">
        <v>1705</v>
      </c>
      <c r="D429" s="1" t="s">
        <v>1706</v>
      </c>
      <c r="E429" s="1" t="s">
        <v>1707</v>
      </c>
      <c r="F429" s="1"/>
      <c r="G429" s="1">
        <v>221309</v>
      </c>
      <c r="H429" s="1">
        <v>0.75</v>
      </c>
    </row>
    <row r="430" spans="1:8" ht="21.75" customHeight="1">
      <c r="A430" s="1" t="str">
        <f>"1208870020894712"</f>
        <v>1208870020894712</v>
      </c>
      <c r="B430" s="1" t="s">
        <v>1708</v>
      </c>
      <c r="C430" s="1" t="s">
        <v>1709</v>
      </c>
      <c r="D430" s="1" t="s">
        <v>410</v>
      </c>
      <c r="E430" s="1" t="s">
        <v>410</v>
      </c>
      <c r="F430" s="1" t="s">
        <v>1665</v>
      </c>
      <c r="G430" s="1">
        <v>221502</v>
      </c>
      <c r="H430" s="1">
        <v>219</v>
      </c>
    </row>
    <row r="431" spans="1:8" ht="21.75" customHeight="1">
      <c r="A431" s="1" t="str">
        <f>"1208160022479673"</f>
        <v>1208160022479673</v>
      </c>
      <c r="B431" s="1" t="s">
        <v>1711</v>
      </c>
      <c r="C431" s="1" t="s">
        <v>1712</v>
      </c>
      <c r="D431" s="1" t="s">
        <v>1713</v>
      </c>
      <c r="E431" s="1"/>
      <c r="F431" s="1" t="s">
        <v>1710</v>
      </c>
      <c r="G431" s="1">
        <v>222161</v>
      </c>
      <c r="H431" s="1">
        <v>7.5</v>
      </c>
    </row>
    <row r="432" spans="1:8" ht="21.75" customHeight="1">
      <c r="A432" s="1" t="str">
        <f>"1203320041088904"</f>
        <v>1203320041088904</v>
      </c>
      <c r="B432" s="1" t="s">
        <v>1714</v>
      </c>
      <c r="C432" s="1" t="s">
        <v>1715</v>
      </c>
      <c r="D432" s="1" t="s">
        <v>1710</v>
      </c>
      <c r="E432" s="1"/>
      <c r="F432" s="1" t="s">
        <v>1710</v>
      </c>
      <c r="G432" s="1">
        <v>222165</v>
      </c>
      <c r="H432" s="1">
        <v>15</v>
      </c>
    </row>
    <row r="433" spans="1:8" ht="21.75" customHeight="1">
      <c r="A433" s="1" t="str">
        <f>"1208870035201889"</f>
        <v>1208870035201889</v>
      </c>
      <c r="B433" s="1" t="s">
        <v>1717</v>
      </c>
      <c r="C433" s="1" t="s">
        <v>1718</v>
      </c>
      <c r="D433" s="1" t="s">
        <v>410</v>
      </c>
      <c r="E433" s="1" t="s">
        <v>410</v>
      </c>
      <c r="F433" s="1" t="s">
        <v>1716</v>
      </c>
      <c r="G433" s="1">
        <v>224001</v>
      </c>
      <c r="H433" s="1">
        <v>42</v>
      </c>
    </row>
    <row r="434" spans="1:8" ht="21.75" customHeight="1">
      <c r="A434" s="1" t="str">
        <f>"1208180026211876"</f>
        <v>1208180026211876</v>
      </c>
      <c r="B434" s="1" t="s">
        <v>1720</v>
      </c>
      <c r="C434" s="1" t="s">
        <v>1721</v>
      </c>
      <c r="D434" s="1" t="s">
        <v>1722</v>
      </c>
      <c r="E434" s="1"/>
      <c r="F434" s="1" t="s">
        <v>1719</v>
      </c>
      <c r="G434" s="1">
        <v>225001</v>
      </c>
      <c r="H434" s="1">
        <v>6</v>
      </c>
    </row>
    <row r="435" spans="1:8" ht="21.75" customHeight="1">
      <c r="A435" s="1" t="str">
        <f>"1202990003386956"</f>
        <v>1202990003386956</v>
      </c>
      <c r="B435" s="1" t="s">
        <v>1723</v>
      </c>
      <c r="C435" s="1" t="s">
        <v>1724</v>
      </c>
      <c r="D435" s="1" t="s">
        <v>1725</v>
      </c>
      <c r="E435" s="1"/>
      <c r="F435" s="1" t="s">
        <v>130</v>
      </c>
      <c r="G435" s="1">
        <v>226001</v>
      </c>
      <c r="H435" s="1">
        <v>7.5</v>
      </c>
    </row>
    <row r="436" spans="1:8" ht="21.75" customHeight="1">
      <c r="A436" s="1" t="str">
        <f>"1208160030590185"</f>
        <v>1208160030590185</v>
      </c>
      <c r="B436" s="1" t="s">
        <v>1726</v>
      </c>
      <c r="C436" s="1" t="s">
        <v>1727</v>
      </c>
      <c r="D436" s="1" t="s">
        <v>1728</v>
      </c>
      <c r="E436" s="1"/>
      <c r="F436" s="1" t="s">
        <v>130</v>
      </c>
      <c r="G436" s="1">
        <v>226002</v>
      </c>
      <c r="H436" s="1">
        <v>16.5</v>
      </c>
    </row>
    <row r="437" spans="1:8" ht="21.75" customHeight="1">
      <c r="A437" s="1" t="str">
        <f>"1201090002461529"</f>
        <v>1201090002461529</v>
      </c>
      <c r="B437" s="1" t="s">
        <v>1729</v>
      </c>
      <c r="C437" s="1" t="s">
        <v>1730</v>
      </c>
      <c r="D437" s="1"/>
      <c r="E437" s="1"/>
      <c r="F437" s="1" t="s">
        <v>130</v>
      </c>
      <c r="G437" s="1">
        <v>226004</v>
      </c>
      <c r="H437" s="1">
        <v>75</v>
      </c>
    </row>
    <row r="438" spans="1:8" ht="21.75" customHeight="1">
      <c r="A438" s="1" t="str">
        <f>"1208180007489295"</f>
        <v>1208180007489295</v>
      </c>
      <c r="B438" s="1" t="s">
        <v>1731</v>
      </c>
      <c r="C438" s="1" t="s">
        <v>1732</v>
      </c>
      <c r="D438" s="1" t="s">
        <v>1733</v>
      </c>
      <c r="E438" s="1"/>
      <c r="F438" s="1" t="s">
        <v>130</v>
      </c>
      <c r="G438" s="1">
        <v>226010</v>
      </c>
      <c r="H438" s="1">
        <v>0.75</v>
      </c>
    </row>
    <row r="439" spans="1:8" ht="21.75" customHeight="1">
      <c r="A439" s="1" t="str">
        <f>"1208250006498850"</f>
        <v>1208250006498850</v>
      </c>
      <c r="B439" s="1" t="s">
        <v>1734</v>
      </c>
      <c r="C439" s="1" t="s">
        <v>1735</v>
      </c>
      <c r="D439" s="1" t="s">
        <v>1736</v>
      </c>
      <c r="E439" s="1" t="s">
        <v>130</v>
      </c>
      <c r="F439" s="1" t="s">
        <v>130</v>
      </c>
      <c r="G439" s="1">
        <v>226016</v>
      </c>
      <c r="H439" s="1">
        <v>7.5</v>
      </c>
    </row>
    <row r="440" spans="1:8" ht="21.75" customHeight="1">
      <c r="A440" s="1" t="str">
        <f>"1202420000607351"</f>
        <v>1202420000607351</v>
      </c>
      <c r="B440" s="1" t="s">
        <v>1737</v>
      </c>
      <c r="C440" s="1" t="s">
        <v>1738</v>
      </c>
      <c r="D440" s="1" t="s">
        <v>1736</v>
      </c>
      <c r="E440" s="1"/>
      <c r="F440" s="1" t="s">
        <v>130</v>
      </c>
      <c r="G440" s="1">
        <v>226016</v>
      </c>
      <c r="H440" s="1">
        <v>0.75</v>
      </c>
    </row>
    <row r="441" spans="1:8" ht="21.75" customHeight="1">
      <c r="A441" s="1" t="str">
        <f>"1208870086626218"</f>
        <v>1208870086626218</v>
      </c>
      <c r="B441" s="1" t="s">
        <v>1739</v>
      </c>
      <c r="C441" s="1" t="s">
        <v>1740</v>
      </c>
      <c r="D441" s="1" t="s">
        <v>1741</v>
      </c>
      <c r="E441" s="1" t="s">
        <v>410</v>
      </c>
      <c r="F441" s="1" t="s">
        <v>130</v>
      </c>
      <c r="G441" s="1">
        <v>226017</v>
      </c>
      <c r="H441" s="1">
        <v>7.5</v>
      </c>
    </row>
    <row r="442" spans="1:8" ht="21.75" customHeight="1">
      <c r="A442" s="1" t="str">
        <f>"1201090009933012"</f>
        <v>1201090009933012</v>
      </c>
      <c r="B442" s="1" t="s">
        <v>1742</v>
      </c>
      <c r="C442" s="1" t="s">
        <v>1743</v>
      </c>
      <c r="D442" s="1" t="s">
        <v>1744</v>
      </c>
      <c r="E442" s="1" t="s">
        <v>1745</v>
      </c>
      <c r="F442" s="1" t="s">
        <v>130</v>
      </c>
      <c r="G442" s="1">
        <v>226021</v>
      </c>
      <c r="H442" s="1">
        <v>15.75</v>
      </c>
    </row>
    <row r="443" spans="1:8" ht="21.75" customHeight="1">
      <c r="A443" s="1" t="str">
        <f>"1208870065590050"</f>
        <v>1208870065590050</v>
      </c>
      <c r="B443" s="1" t="s">
        <v>1746</v>
      </c>
      <c r="C443" s="1" t="s">
        <v>1747</v>
      </c>
      <c r="D443" s="1" t="s">
        <v>1748</v>
      </c>
      <c r="E443" s="1" t="s">
        <v>1749</v>
      </c>
      <c r="F443" s="1" t="s">
        <v>130</v>
      </c>
      <c r="G443" s="1">
        <v>226023</v>
      </c>
      <c r="H443" s="1">
        <v>6</v>
      </c>
    </row>
    <row r="444" spans="1:8" ht="21.75" customHeight="1">
      <c r="A444" s="1" t="str">
        <f>"1208180002232215"</f>
        <v>1208180002232215</v>
      </c>
      <c r="B444" s="1" t="s">
        <v>1751</v>
      </c>
      <c r="C444" s="1" t="s">
        <v>1752</v>
      </c>
      <c r="D444" s="1" t="s">
        <v>1753</v>
      </c>
      <c r="E444" s="1" t="s">
        <v>1754</v>
      </c>
      <c r="F444" s="1" t="s">
        <v>1750</v>
      </c>
      <c r="G444" s="1">
        <v>229402</v>
      </c>
      <c r="H444" s="1">
        <v>91.5</v>
      </c>
    </row>
    <row r="445" spans="1:8" ht="21.75" customHeight="1">
      <c r="A445" s="1" t="str">
        <f>"1208250001865791"</f>
        <v>1208250001865791</v>
      </c>
      <c r="B445" s="1" t="s">
        <v>1755</v>
      </c>
      <c r="C445" s="1" t="s">
        <v>1756</v>
      </c>
      <c r="D445" s="1" t="s">
        <v>1757</v>
      </c>
      <c r="E445" s="1"/>
      <c r="F445" s="1" t="s">
        <v>733</v>
      </c>
      <c r="G445" s="1">
        <v>243006</v>
      </c>
      <c r="H445" s="1">
        <v>7.5</v>
      </c>
    </row>
    <row r="446" spans="1:8" ht="21.75" customHeight="1">
      <c r="A446" s="1" t="str">
        <f>"1203680000116244"</f>
        <v>1203680000116244</v>
      </c>
      <c r="B446" s="1" t="s">
        <v>1759</v>
      </c>
      <c r="C446" s="1" t="s">
        <v>1760</v>
      </c>
      <c r="D446" s="1" t="s">
        <v>1758</v>
      </c>
      <c r="E446" s="1" t="s">
        <v>733</v>
      </c>
      <c r="F446" s="1" t="s">
        <v>733</v>
      </c>
      <c r="G446" s="1">
        <v>243122</v>
      </c>
      <c r="H446" s="1">
        <v>1350</v>
      </c>
    </row>
    <row r="447" spans="1:8" ht="21.75" customHeight="1">
      <c r="A447" s="1" t="str">
        <f>"1208160076169241"</f>
        <v>1208160076169241</v>
      </c>
      <c r="B447" s="1" t="s">
        <v>1761</v>
      </c>
      <c r="C447" s="1" t="s">
        <v>1762</v>
      </c>
      <c r="D447" s="1" t="s">
        <v>1763</v>
      </c>
      <c r="E447" s="1"/>
      <c r="F447" s="1" t="s">
        <v>134</v>
      </c>
      <c r="G447" s="1">
        <v>244001</v>
      </c>
      <c r="H447" s="1">
        <v>35.25</v>
      </c>
    </row>
    <row r="448" spans="1:8" ht="21.75" customHeight="1">
      <c r="A448" s="1" t="str">
        <f>"1208160072124926"</f>
        <v>1208160072124926</v>
      </c>
      <c r="B448" s="1" t="s">
        <v>1764</v>
      </c>
      <c r="C448" s="1" t="s">
        <v>1765</v>
      </c>
      <c r="D448" s="1" t="s">
        <v>1766</v>
      </c>
      <c r="E448" s="1"/>
      <c r="F448" s="1" t="s">
        <v>1767</v>
      </c>
      <c r="G448" s="1">
        <v>244236</v>
      </c>
      <c r="H448" s="1">
        <v>4.5</v>
      </c>
    </row>
    <row r="449" spans="1:8" ht="21.75" customHeight="1">
      <c r="A449" s="1" t="str">
        <f>"1208160081291964"</f>
        <v>1208160081291964</v>
      </c>
      <c r="B449" s="1" t="s">
        <v>1769</v>
      </c>
      <c r="C449" s="1" t="s">
        <v>1770</v>
      </c>
      <c r="D449" s="1"/>
      <c r="E449" s="1"/>
      <c r="F449" s="1" t="s">
        <v>1768</v>
      </c>
      <c r="G449" s="1">
        <v>246725</v>
      </c>
      <c r="H449" s="1">
        <v>75</v>
      </c>
    </row>
    <row r="450" spans="1:8" ht="21.75" customHeight="1">
      <c r="A450" s="1" t="str">
        <f>"1201091000001249"</f>
        <v>1201091000001249</v>
      </c>
      <c r="B450" s="1" t="s">
        <v>1771</v>
      </c>
      <c r="C450" s="1" t="s">
        <v>1772</v>
      </c>
      <c r="D450" s="1" t="s">
        <v>1773</v>
      </c>
      <c r="E450" s="1"/>
      <c r="F450" s="1" t="s">
        <v>1774</v>
      </c>
      <c r="G450" s="1">
        <v>248001</v>
      </c>
      <c r="H450" s="1">
        <v>75</v>
      </c>
    </row>
    <row r="451" spans="1:8" ht="21.75" customHeight="1">
      <c r="A451" s="1" t="str">
        <f>"1208160073240691"</f>
        <v>1208160073240691</v>
      </c>
      <c r="B451" s="1" t="s">
        <v>1775</v>
      </c>
      <c r="C451" s="1" t="s">
        <v>1776</v>
      </c>
      <c r="D451" s="1" t="s">
        <v>1777</v>
      </c>
      <c r="E451" s="1"/>
      <c r="F451" s="1" t="s">
        <v>737</v>
      </c>
      <c r="G451" s="1">
        <v>248008</v>
      </c>
      <c r="H451" s="1">
        <v>11.25</v>
      </c>
    </row>
    <row r="452" spans="1:8" ht="21.75" customHeight="1">
      <c r="A452" s="1" t="str">
        <f>"IN30045015177920"</f>
        <v>IN30045015177920</v>
      </c>
      <c r="B452" s="1" t="s">
        <v>1778</v>
      </c>
      <c r="C452" s="1" t="s">
        <v>1779</v>
      </c>
      <c r="D452" s="1" t="s">
        <v>1780</v>
      </c>
      <c r="E452" s="1" t="s">
        <v>1781</v>
      </c>
      <c r="F452" s="1"/>
      <c r="G452" s="1">
        <v>248197</v>
      </c>
      <c r="H452" s="1">
        <v>111.75</v>
      </c>
    </row>
    <row r="453" spans="1:8" ht="21.75" customHeight="1">
      <c r="A453" s="1" t="str">
        <f>"1202060000637530"</f>
        <v>1202060000637530</v>
      </c>
      <c r="B453" s="1" t="s">
        <v>1782</v>
      </c>
      <c r="C453" s="1" t="s">
        <v>1783</v>
      </c>
      <c r="D453" s="1" t="s">
        <v>1784</v>
      </c>
      <c r="E453" s="1" t="s">
        <v>1785</v>
      </c>
      <c r="F453" s="1" t="s">
        <v>745</v>
      </c>
      <c r="G453" s="1">
        <v>250001</v>
      </c>
      <c r="H453" s="1">
        <v>75</v>
      </c>
    </row>
    <row r="454" spans="1:8" ht="21.75" customHeight="1">
      <c r="A454" s="1" t="str">
        <f>"1208180009796403"</f>
        <v>1208180009796403</v>
      </c>
      <c r="B454" s="1" t="s">
        <v>1786</v>
      </c>
      <c r="C454" s="1" t="s">
        <v>1787</v>
      </c>
      <c r="D454" s="1"/>
      <c r="E454" s="1"/>
      <c r="F454" s="1" t="s">
        <v>745</v>
      </c>
      <c r="G454" s="1">
        <v>250001</v>
      </c>
      <c r="H454" s="1">
        <v>21</v>
      </c>
    </row>
    <row r="455" spans="1:8" ht="21.75" customHeight="1">
      <c r="A455" s="1" t="str">
        <f>"1208250004959563"</f>
        <v>1208250004959563</v>
      </c>
      <c r="B455" s="1" t="s">
        <v>1788</v>
      </c>
      <c r="C455" s="1" t="s">
        <v>1789</v>
      </c>
      <c r="D455" s="1" t="s">
        <v>745</v>
      </c>
      <c r="E455" s="1"/>
      <c r="F455" s="1" t="s">
        <v>745</v>
      </c>
      <c r="G455" s="1">
        <v>250001</v>
      </c>
      <c r="H455" s="1">
        <v>15</v>
      </c>
    </row>
    <row r="456" spans="1:8" ht="21.75" customHeight="1">
      <c r="A456" s="1" t="str">
        <f>"IN30021417019577"</f>
        <v>IN30021417019577</v>
      </c>
      <c r="B456" s="1" t="s">
        <v>1790</v>
      </c>
      <c r="C456" s="1" t="s">
        <v>1791</v>
      </c>
      <c r="D456" s="1" t="s">
        <v>1792</v>
      </c>
      <c r="E456" s="1" t="s">
        <v>1793</v>
      </c>
      <c r="F456" s="1"/>
      <c r="G456" s="1">
        <v>250004</v>
      </c>
      <c r="H456" s="1">
        <v>337</v>
      </c>
    </row>
    <row r="457" spans="1:8" ht="21.75" customHeight="1">
      <c r="A457" s="1" t="str">
        <f>"1208180009210121"</f>
        <v>1208180009210121</v>
      </c>
      <c r="B457" s="1" t="s">
        <v>1794</v>
      </c>
      <c r="C457" s="1" t="s">
        <v>1795</v>
      </c>
      <c r="D457" s="1" t="s">
        <v>1796</v>
      </c>
      <c r="E457" s="1"/>
      <c r="F457" s="1" t="s">
        <v>745</v>
      </c>
      <c r="G457" s="1">
        <v>250110</v>
      </c>
      <c r="H457" s="1">
        <v>18</v>
      </c>
    </row>
    <row r="458" spans="1:8" ht="21.75" customHeight="1">
      <c r="A458" s="1" t="str">
        <f>"1203320040804681"</f>
        <v>1203320040804681</v>
      </c>
      <c r="B458" s="1" t="s">
        <v>1799</v>
      </c>
      <c r="C458" s="1" t="s">
        <v>1800</v>
      </c>
      <c r="D458" s="1" t="s">
        <v>1801</v>
      </c>
      <c r="E458" s="1" t="s">
        <v>1798</v>
      </c>
      <c r="F458" s="1" t="s">
        <v>1798</v>
      </c>
      <c r="G458" s="1">
        <v>251201</v>
      </c>
      <c r="H458" s="1">
        <v>11.25</v>
      </c>
    </row>
    <row r="459" spans="1:8" ht="21.75" customHeight="1">
      <c r="A459" s="1" t="str">
        <f>"1208180000328200"</f>
        <v>1208180000328200</v>
      </c>
      <c r="B459" s="1" t="s">
        <v>1803</v>
      </c>
      <c r="C459" s="1" t="s">
        <v>1804</v>
      </c>
      <c r="D459" s="1" t="s">
        <v>1805</v>
      </c>
      <c r="E459" s="1" t="s">
        <v>1806</v>
      </c>
      <c r="F459" s="1" t="s">
        <v>1802</v>
      </c>
      <c r="G459" s="1">
        <v>261201</v>
      </c>
      <c r="H459" s="1">
        <v>14.25</v>
      </c>
    </row>
    <row r="460" spans="1:8" ht="21.75" customHeight="1">
      <c r="A460" s="1" t="str">
        <f>"1208180010421990"</f>
        <v>1208180010421990</v>
      </c>
      <c r="B460" s="1" t="s">
        <v>1807</v>
      </c>
      <c r="C460" s="1" t="s">
        <v>1808</v>
      </c>
      <c r="D460" s="1" t="s">
        <v>1809</v>
      </c>
      <c r="E460" s="1"/>
      <c r="F460" s="1" t="s">
        <v>1810</v>
      </c>
      <c r="G460" s="1">
        <v>262701</v>
      </c>
      <c r="H460" s="1">
        <v>7.5</v>
      </c>
    </row>
    <row r="461" spans="1:8" ht="21.75" customHeight="1">
      <c r="A461" s="1" t="str">
        <f>"IN30260310219855"</f>
        <v>IN30260310219855</v>
      </c>
      <c r="B461" s="1" t="s">
        <v>1811</v>
      </c>
      <c r="C461" s="1" t="s">
        <v>1812</v>
      </c>
      <c r="D461" s="1" t="s">
        <v>1813</v>
      </c>
      <c r="E461" s="1" t="s">
        <v>1814</v>
      </c>
      <c r="F461" s="1"/>
      <c r="G461" s="1">
        <v>273006</v>
      </c>
      <c r="H461" s="1">
        <v>15</v>
      </c>
    </row>
    <row r="462" spans="1:8" ht="21.75" customHeight="1">
      <c r="A462" s="1" t="str">
        <f>"IN30039416678053"</f>
        <v>IN30039416678053</v>
      </c>
      <c r="B462" s="1" t="s">
        <v>1815</v>
      </c>
      <c r="C462" s="1" t="s">
        <v>1816</v>
      </c>
      <c r="D462" s="1" t="s">
        <v>1817</v>
      </c>
      <c r="E462" s="1" t="s">
        <v>1818</v>
      </c>
      <c r="F462" s="1"/>
      <c r="G462" s="1">
        <v>273015</v>
      </c>
      <c r="H462" s="1">
        <v>1.5</v>
      </c>
    </row>
    <row r="463" spans="1:8" ht="21.75" customHeight="1">
      <c r="A463" s="1" t="str">
        <f>"1203320037836001"</f>
        <v>1203320037836001</v>
      </c>
      <c r="B463" s="1" t="s">
        <v>1819</v>
      </c>
      <c r="C463" s="1" t="s">
        <v>1820</v>
      </c>
      <c r="D463" s="1" t="s">
        <v>141</v>
      </c>
      <c r="E463" s="1"/>
      <c r="F463" s="1" t="s">
        <v>141</v>
      </c>
      <c r="G463" s="1">
        <v>273402</v>
      </c>
      <c r="H463" s="1">
        <v>0.75</v>
      </c>
    </row>
    <row r="464" spans="1:8" ht="21.75" customHeight="1">
      <c r="A464" s="1" t="str">
        <f>"1208870001504314"</f>
        <v>1208870001504314</v>
      </c>
      <c r="B464" s="1" t="s">
        <v>1822</v>
      </c>
      <c r="C464" s="1" t="s">
        <v>1823</v>
      </c>
      <c r="D464" s="1" t="s">
        <v>410</v>
      </c>
      <c r="E464" s="1" t="s">
        <v>410</v>
      </c>
      <c r="F464" s="1" t="s">
        <v>1821</v>
      </c>
      <c r="G464" s="1">
        <v>274301</v>
      </c>
      <c r="H464" s="1">
        <v>18.75</v>
      </c>
    </row>
    <row r="465" spans="1:8" ht="21.75" customHeight="1">
      <c r="A465" s="1" t="str">
        <f>"1208180027220485"</f>
        <v>1208180027220485</v>
      </c>
      <c r="B465" s="1" t="s">
        <v>1826</v>
      </c>
      <c r="C465" s="1" t="s">
        <v>1827</v>
      </c>
      <c r="D465" s="1" t="s">
        <v>1828</v>
      </c>
      <c r="E465" s="1" t="s">
        <v>1829</v>
      </c>
      <c r="F465" s="1" t="s">
        <v>1825</v>
      </c>
      <c r="G465" s="1">
        <v>274702</v>
      </c>
      <c r="H465" s="1">
        <v>33.75</v>
      </c>
    </row>
    <row r="466" spans="1:8" ht="21.75" customHeight="1">
      <c r="A466" s="1" t="str">
        <f>"1208160057605825"</f>
        <v>1208160057605825</v>
      </c>
      <c r="B466" s="1" t="s">
        <v>1830</v>
      </c>
      <c r="C466" s="1" t="s">
        <v>1831</v>
      </c>
      <c r="D466" s="1"/>
      <c r="E466" s="1"/>
      <c r="F466" s="1" t="s">
        <v>145</v>
      </c>
      <c r="G466" s="1">
        <v>276001</v>
      </c>
      <c r="H466" s="1">
        <v>67.5</v>
      </c>
    </row>
    <row r="467" spans="1:8" ht="21.75" customHeight="1">
      <c r="A467" s="1" t="str">
        <f>"1208870022560685"</f>
        <v>1208870022560685</v>
      </c>
      <c r="B467" s="1" t="s">
        <v>1833</v>
      </c>
      <c r="C467" s="1" t="s">
        <v>1834</v>
      </c>
      <c r="D467" s="1" t="s">
        <v>129</v>
      </c>
      <c r="E467" s="1" t="s">
        <v>410</v>
      </c>
      <c r="F467" s="1" t="s">
        <v>1832</v>
      </c>
      <c r="G467" s="1">
        <v>277209</v>
      </c>
      <c r="H467" s="1">
        <v>34.5</v>
      </c>
    </row>
    <row r="468" spans="1:8" ht="21.75" customHeight="1">
      <c r="A468" s="1" t="str">
        <f>"1203320022150102"</f>
        <v>1203320022150102</v>
      </c>
      <c r="B468" s="1" t="s">
        <v>1836</v>
      </c>
      <c r="C468" s="1" t="s">
        <v>1837</v>
      </c>
      <c r="D468" s="1" t="s">
        <v>1838</v>
      </c>
      <c r="E468" s="1" t="s">
        <v>1839</v>
      </c>
      <c r="F468" s="1" t="s">
        <v>1835</v>
      </c>
      <c r="G468" s="1">
        <v>281121</v>
      </c>
      <c r="H468" s="1">
        <v>1.5</v>
      </c>
    </row>
    <row r="469" spans="1:8" ht="21.75" customHeight="1">
      <c r="A469" s="1" t="str">
        <f>"1203230003231302"</f>
        <v>1203230003231302</v>
      </c>
      <c r="B469" s="1" t="s">
        <v>1841</v>
      </c>
      <c r="C469" s="1" t="s">
        <v>1842</v>
      </c>
      <c r="D469" s="1" t="s">
        <v>1843</v>
      </c>
      <c r="E469" s="1" t="s">
        <v>1844</v>
      </c>
      <c r="F469" s="1" t="s">
        <v>1840</v>
      </c>
      <c r="G469" s="1">
        <v>282002</v>
      </c>
      <c r="H469" s="1">
        <v>337</v>
      </c>
    </row>
    <row r="470" spans="1:8" ht="21.75" customHeight="1">
      <c r="A470" s="1" t="str">
        <f>"1208160059756610"</f>
        <v>1208160059756610</v>
      </c>
      <c r="B470" s="1" t="s">
        <v>1845</v>
      </c>
      <c r="C470" s="1" t="s">
        <v>1846</v>
      </c>
      <c r="D470" s="1"/>
      <c r="E470" s="1"/>
      <c r="F470" s="1" t="s">
        <v>1840</v>
      </c>
      <c r="G470" s="1">
        <v>282005</v>
      </c>
      <c r="H470" s="1">
        <v>7.5</v>
      </c>
    </row>
    <row r="471" spans="1:8" ht="21.75" customHeight="1">
      <c r="A471" s="1" t="str">
        <f>"1202990004071910"</f>
        <v>1202990004071910</v>
      </c>
      <c r="B471" s="1" t="s">
        <v>1847</v>
      </c>
      <c r="C471" s="1" t="s">
        <v>1848</v>
      </c>
      <c r="D471" s="1" t="s">
        <v>1849</v>
      </c>
      <c r="E471" s="1" t="s">
        <v>1840</v>
      </c>
      <c r="F471" s="1" t="s">
        <v>1840</v>
      </c>
      <c r="G471" s="1">
        <v>282005</v>
      </c>
      <c r="H471" s="1">
        <v>7.5</v>
      </c>
    </row>
    <row r="472" spans="1:8" ht="21.75" customHeight="1">
      <c r="A472" s="1" t="str">
        <f>"1208870038007053"</f>
        <v>1208870038007053</v>
      </c>
      <c r="B472" s="1" t="s">
        <v>1850</v>
      </c>
      <c r="C472" s="1" t="s">
        <v>1851</v>
      </c>
      <c r="D472" s="1" t="s">
        <v>1852</v>
      </c>
      <c r="E472" s="1" t="s">
        <v>1853</v>
      </c>
      <c r="F472" s="1" t="s">
        <v>1659</v>
      </c>
      <c r="G472" s="1">
        <v>284135</v>
      </c>
      <c r="H472" s="1">
        <v>0.75</v>
      </c>
    </row>
    <row r="473" spans="1:8" ht="21.75" customHeight="1">
      <c r="A473" s="1" t="str">
        <f>"1208250006129751"</f>
        <v>1208250006129751</v>
      </c>
      <c r="B473" s="1" t="s">
        <v>1854</v>
      </c>
      <c r="C473" s="1" t="s">
        <v>1855</v>
      </c>
      <c r="D473" s="1" t="s">
        <v>1824</v>
      </c>
      <c r="E473" s="1"/>
      <c r="F473" s="1" t="s">
        <v>1824</v>
      </c>
      <c r="G473" s="1">
        <v>301001</v>
      </c>
      <c r="H473" s="1">
        <v>11.25</v>
      </c>
    </row>
    <row r="474" spans="1:8" ht="21.75" customHeight="1">
      <c r="A474" s="1" t="str">
        <f>"1203320037332321"</f>
        <v>1203320037332321</v>
      </c>
      <c r="B474" s="1" t="s">
        <v>1856</v>
      </c>
      <c r="C474" s="1" t="s">
        <v>1857</v>
      </c>
      <c r="D474" s="1" t="s">
        <v>1824</v>
      </c>
      <c r="E474" s="1"/>
      <c r="F474" s="1" t="s">
        <v>1824</v>
      </c>
      <c r="G474" s="1">
        <v>301411</v>
      </c>
      <c r="H474" s="1">
        <v>12</v>
      </c>
    </row>
    <row r="475" spans="1:8" ht="21.75" customHeight="1">
      <c r="A475" s="1" t="str">
        <f>"IN30021438238209"</f>
        <v>IN30021438238209</v>
      </c>
      <c r="B475" s="1" t="s">
        <v>1858</v>
      </c>
      <c r="C475" s="1" t="s">
        <v>1859</v>
      </c>
      <c r="D475" s="1" t="s">
        <v>1860</v>
      </c>
      <c r="E475" s="1" t="s">
        <v>1861</v>
      </c>
      <c r="F475" s="1"/>
      <c r="G475" s="1">
        <v>302002</v>
      </c>
      <c r="H475" s="1">
        <v>239.25</v>
      </c>
    </row>
    <row r="476" spans="1:8" ht="21.75" customHeight="1">
      <c r="A476" s="1" t="str">
        <f>"1201060002852774"</f>
        <v>1201060002852774</v>
      </c>
      <c r="B476" s="1" t="s">
        <v>1863</v>
      </c>
      <c r="C476" s="1" t="s">
        <v>1864</v>
      </c>
      <c r="D476" s="1" t="s">
        <v>1865</v>
      </c>
      <c r="E476" s="1"/>
      <c r="F476" s="1" t="s">
        <v>1862</v>
      </c>
      <c r="G476" s="1">
        <v>302003</v>
      </c>
      <c r="H476" s="1">
        <v>37.5</v>
      </c>
    </row>
    <row r="477" spans="1:8" ht="21.75" customHeight="1">
      <c r="A477" s="1" t="str">
        <f>"1202990005598637"</f>
        <v>1202990005598637</v>
      </c>
      <c r="B477" s="1" t="s">
        <v>1866</v>
      </c>
      <c r="C477" s="1" t="s">
        <v>1867</v>
      </c>
      <c r="D477" s="1" t="s">
        <v>1868</v>
      </c>
      <c r="E477" s="1"/>
      <c r="F477" s="1" t="s">
        <v>1862</v>
      </c>
      <c r="G477" s="1">
        <v>302004</v>
      </c>
      <c r="H477" s="1">
        <v>75</v>
      </c>
    </row>
    <row r="478" spans="1:8" ht="21.75" customHeight="1">
      <c r="A478" s="1" t="str">
        <f>"1601430104214453"</f>
        <v>1601430104214453</v>
      </c>
      <c r="B478" s="1" t="s">
        <v>1870</v>
      </c>
      <c r="C478" s="1" t="s">
        <v>1871</v>
      </c>
      <c r="D478" s="1" t="s">
        <v>1872</v>
      </c>
      <c r="E478" s="1"/>
      <c r="F478" s="1" t="s">
        <v>1862</v>
      </c>
      <c r="G478" s="1">
        <v>302004</v>
      </c>
      <c r="H478" s="1">
        <v>0.75</v>
      </c>
    </row>
    <row r="479" spans="1:8" ht="21.75" customHeight="1">
      <c r="A479" s="1" t="str">
        <f>"1208870003048031"</f>
        <v>1208870003048031</v>
      </c>
      <c r="B479" s="1" t="s">
        <v>1873</v>
      </c>
      <c r="C479" s="1" t="s">
        <v>1874</v>
      </c>
      <c r="D479" s="1" t="s">
        <v>1875</v>
      </c>
      <c r="E479" s="1" t="s">
        <v>410</v>
      </c>
      <c r="F479" s="1" t="s">
        <v>1862</v>
      </c>
      <c r="G479" s="1">
        <v>302012</v>
      </c>
      <c r="H479" s="1">
        <v>0.75</v>
      </c>
    </row>
    <row r="480" spans="1:8" ht="21.75" customHeight="1">
      <c r="A480" s="1" t="str">
        <f>"1201060500175982"</f>
        <v>1201060500175982</v>
      </c>
      <c r="B480" s="1" t="s">
        <v>1876</v>
      </c>
      <c r="C480" s="1" t="s">
        <v>1877</v>
      </c>
      <c r="D480" s="1" t="s">
        <v>1878</v>
      </c>
      <c r="E480" s="1"/>
      <c r="F480" s="1" t="s">
        <v>1862</v>
      </c>
      <c r="G480" s="1">
        <v>302012</v>
      </c>
      <c r="H480" s="1">
        <v>15.75</v>
      </c>
    </row>
    <row r="481" spans="1:8" ht="21.75" customHeight="1">
      <c r="A481" s="1" t="str">
        <f>"1304140008053448"</f>
        <v>1304140008053448</v>
      </c>
      <c r="B481" s="1" t="s">
        <v>1879</v>
      </c>
      <c r="C481" s="1" t="s">
        <v>1880</v>
      </c>
      <c r="D481" s="1" t="s">
        <v>1881</v>
      </c>
      <c r="E481" s="1" t="s">
        <v>1882</v>
      </c>
      <c r="F481" s="1" t="s">
        <v>1862</v>
      </c>
      <c r="G481" s="1">
        <v>302012</v>
      </c>
      <c r="H481" s="1">
        <v>2.25</v>
      </c>
    </row>
    <row r="482" spans="1:8" ht="21.75" customHeight="1">
      <c r="A482" s="1" t="str">
        <f>"IN30114310965819"</f>
        <v>IN30114310965819</v>
      </c>
      <c r="B482" s="1" t="s">
        <v>1883</v>
      </c>
      <c r="C482" s="1" t="s">
        <v>1884</v>
      </c>
      <c r="D482" s="1" t="s">
        <v>1885</v>
      </c>
      <c r="E482" s="1" t="s">
        <v>1886</v>
      </c>
      <c r="F482" s="1"/>
      <c r="G482" s="1">
        <v>302012</v>
      </c>
      <c r="H482" s="1">
        <v>7.5</v>
      </c>
    </row>
    <row r="483" spans="1:8" ht="21.75" customHeight="1">
      <c r="A483" s="1" t="str">
        <f>"1208160089560070"</f>
        <v>1208160089560070</v>
      </c>
      <c r="B483" s="1" t="s">
        <v>1888</v>
      </c>
      <c r="C483" s="1" t="s">
        <v>1889</v>
      </c>
      <c r="D483" s="1" t="s">
        <v>1890</v>
      </c>
      <c r="E483" s="1"/>
      <c r="F483" s="1" t="s">
        <v>1862</v>
      </c>
      <c r="G483" s="1">
        <v>302015</v>
      </c>
      <c r="H483" s="1">
        <v>2.25</v>
      </c>
    </row>
    <row r="484" spans="1:8" ht="21.75" customHeight="1">
      <c r="A484" s="1" t="str">
        <f>"1208180032320291"</f>
        <v>1208180032320291</v>
      </c>
      <c r="B484" s="1" t="s">
        <v>1892</v>
      </c>
      <c r="C484" s="1" t="s">
        <v>1893</v>
      </c>
      <c r="D484" s="1" t="s">
        <v>1894</v>
      </c>
      <c r="E484" s="1" t="s">
        <v>1862</v>
      </c>
      <c r="F484" s="1" t="s">
        <v>1862</v>
      </c>
      <c r="G484" s="1">
        <v>302018</v>
      </c>
      <c r="H484" s="1">
        <v>18.75</v>
      </c>
    </row>
    <row r="485" spans="1:8" ht="21.75" customHeight="1">
      <c r="A485" s="1" t="str">
        <f>"1208430000258321"</f>
        <v>1208430000258321</v>
      </c>
      <c r="B485" s="1" t="s">
        <v>1895</v>
      </c>
      <c r="C485" s="1" t="s">
        <v>1896</v>
      </c>
      <c r="D485" s="1" t="s">
        <v>1897</v>
      </c>
      <c r="E485" s="1" t="s">
        <v>1898</v>
      </c>
      <c r="F485" s="1" t="s">
        <v>1862</v>
      </c>
      <c r="G485" s="1">
        <v>302020</v>
      </c>
      <c r="H485" s="1">
        <v>13.5</v>
      </c>
    </row>
    <row r="486" spans="1:8" ht="21.75" customHeight="1">
      <c r="A486" s="1" t="str">
        <f>"1208180017485158"</f>
        <v>1208180017485158</v>
      </c>
      <c r="B486" s="1" t="s">
        <v>1899</v>
      </c>
      <c r="C486" s="1" t="s">
        <v>1900</v>
      </c>
      <c r="D486" s="1"/>
      <c r="E486" s="1"/>
      <c r="F486" s="1" t="s">
        <v>1862</v>
      </c>
      <c r="G486" s="1">
        <v>302020</v>
      </c>
      <c r="H486" s="1">
        <v>0.75</v>
      </c>
    </row>
    <row r="487" spans="1:8" ht="21.75" customHeight="1">
      <c r="A487" s="1" t="str">
        <f>"IN30290241270198"</f>
        <v>IN30290241270198</v>
      </c>
      <c r="B487" s="1" t="s">
        <v>1901</v>
      </c>
      <c r="C487" s="1" t="s">
        <v>1902</v>
      </c>
      <c r="D487" s="1" t="s">
        <v>1903</v>
      </c>
      <c r="E487" s="1" t="s">
        <v>1904</v>
      </c>
      <c r="F487" s="1"/>
      <c r="G487" s="1">
        <v>302022</v>
      </c>
      <c r="H487" s="1">
        <v>15</v>
      </c>
    </row>
    <row r="488" spans="1:8" ht="21.75" customHeight="1">
      <c r="A488" s="1" t="str">
        <f>"1208870019389189"</f>
        <v>1208870019389189</v>
      </c>
      <c r="B488" s="1" t="s">
        <v>1905</v>
      </c>
      <c r="C488" s="1" t="s">
        <v>1906</v>
      </c>
      <c r="D488" s="1" t="s">
        <v>1907</v>
      </c>
      <c r="E488" s="1" t="s">
        <v>410</v>
      </c>
      <c r="F488" s="1" t="s">
        <v>1862</v>
      </c>
      <c r="G488" s="1">
        <v>303119</v>
      </c>
      <c r="H488" s="1">
        <v>105.75</v>
      </c>
    </row>
    <row r="489" spans="1:8" ht="21.75" customHeight="1">
      <c r="A489" s="1" t="str">
        <f>"1203320082734479"</f>
        <v>1203320082734479</v>
      </c>
      <c r="B489" s="1" t="s">
        <v>1344</v>
      </c>
      <c r="C489" s="1" t="s">
        <v>1909</v>
      </c>
      <c r="D489" s="1" t="s">
        <v>1910</v>
      </c>
      <c r="E489" s="1" t="s">
        <v>1911</v>
      </c>
      <c r="F489" s="1" t="s">
        <v>1908</v>
      </c>
      <c r="G489" s="1">
        <v>305901</v>
      </c>
      <c r="H489" s="1">
        <v>1.5</v>
      </c>
    </row>
    <row r="490" spans="1:8" ht="21.75" customHeight="1">
      <c r="A490" s="1" t="str">
        <f>"1201210100601880"</f>
        <v>1201210100601880</v>
      </c>
      <c r="B490" s="1" t="s">
        <v>1913</v>
      </c>
      <c r="C490" s="1" t="s">
        <v>1914</v>
      </c>
      <c r="D490" s="1" t="s">
        <v>1915</v>
      </c>
      <c r="E490" s="1" t="s">
        <v>1916</v>
      </c>
      <c r="F490" s="1" t="s">
        <v>1912</v>
      </c>
      <c r="G490" s="1">
        <v>306401</v>
      </c>
      <c r="H490" s="1">
        <v>101.5</v>
      </c>
    </row>
    <row r="491" spans="1:8" ht="21.75" customHeight="1">
      <c r="A491" s="1" t="str">
        <f>"1203320021392764"</f>
        <v>1203320021392764</v>
      </c>
      <c r="B491" s="1" t="s">
        <v>1918</v>
      </c>
      <c r="C491" s="1" t="s">
        <v>1919</v>
      </c>
      <c r="D491" s="1" t="s">
        <v>1920</v>
      </c>
      <c r="E491" s="1" t="s">
        <v>1921</v>
      </c>
      <c r="F491" s="1" t="s">
        <v>1912</v>
      </c>
      <c r="G491" s="1">
        <v>306501</v>
      </c>
      <c r="H491" s="1">
        <v>0.75</v>
      </c>
    </row>
    <row r="492" spans="1:8" ht="21.75" customHeight="1">
      <c r="A492" s="1" t="str">
        <f>"1204370000138896"</f>
        <v>1204370000138896</v>
      </c>
      <c r="B492" s="1" t="s">
        <v>1922</v>
      </c>
      <c r="C492" s="1" t="s">
        <v>1923</v>
      </c>
      <c r="D492" s="1" t="s">
        <v>1924</v>
      </c>
      <c r="E492" s="1" t="s">
        <v>150</v>
      </c>
      <c r="F492" s="1" t="s">
        <v>1925</v>
      </c>
      <c r="G492" s="1">
        <v>311001</v>
      </c>
      <c r="H492" s="1">
        <v>50.25</v>
      </c>
    </row>
    <row r="493" spans="1:8" ht="21.75" customHeight="1">
      <c r="A493" s="1" t="str">
        <f>"IN30429571396658"</f>
        <v>IN30429571396658</v>
      </c>
      <c r="B493" s="1" t="s">
        <v>1926</v>
      </c>
      <c r="C493" s="1" t="s">
        <v>1927</v>
      </c>
      <c r="D493" s="1" t="s">
        <v>1928</v>
      </c>
      <c r="E493" s="1" t="s">
        <v>1929</v>
      </c>
      <c r="F493" s="1"/>
      <c r="G493" s="1">
        <v>311001</v>
      </c>
      <c r="H493" s="1">
        <v>38.25</v>
      </c>
    </row>
    <row r="494" spans="1:8" ht="21.75" customHeight="1">
      <c r="A494" s="1" t="str">
        <f>"1208180038756700"</f>
        <v>1208180038756700</v>
      </c>
      <c r="B494" s="1" t="s">
        <v>1931</v>
      </c>
      <c r="C494" s="1" t="s">
        <v>1932</v>
      </c>
      <c r="D494" s="1" t="s">
        <v>1933</v>
      </c>
      <c r="E494" s="1"/>
      <c r="F494" s="1" t="s">
        <v>1930</v>
      </c>
      <c r="G494" s="1">
        <v>312024</v>
      </c>
      <c r="H494" s="1">
        <v>7.5</v>
      </c>
    </row>
    <row r="495" spans="1:8" ht="21.75" customHeight="1">
      <c r="A495" s="1" t="str">
        <f>"1208870097068175"</f>
        <v>1208870097068175</v>
      </c>
      <c r="B495" s="1" t="s">
        <v>1934</v>
      </c>
      <c r="C495" s="1" t="s">
        <v>1935</v>
      </c>
      <c r="D495" s="1" t="s">
        <v>1936</v>
      </c>
      <c r="E495" s="1" t="s">
        <v>1937</v>
      </c>
      <c r="F495" s="1" t="s">
        <v>1930</v>
      </c>
      <c r="G495" s="1">
        <v>312604</v>
      </c>
      <c r="H495" s="1">
        <v>7.5</v>
      </c>
    </row>
    <row r="496" spans="1:8" ht="21.75" customHeight="1">
      <c r="A496" s="1" t="str">
        <f>"IN30160410675728"</f>
        <v>IN30160410675728</v>
      </c>
      <c r="B496" s="1" t="s">
        <v>1938</v>
      </c>
      <c r="C496" s="1" t="s">
        <v>1939</v>
      </c>
      <c r="D496" s="1" t="s">
        <v>1940</v>
      </c>
      <c r="E496" s="1" t="s">
        <v>1941</v>
      </c>
      <c r="F496" s="1"/>
      <c r="G496" s="1">
        <v>313001</v>
      </c>
      <c r="H496" s="1">
        <v>525</v>
      </c>
    </row>
    <row r="497" spans="1:8" ht="21.75" customHeight="1">
      <c r="A497" s="1" t="str">
        <f>"IN30302864343557"</f>
        <v>IN30302864343557</v>
      </c>
      <c r="B497" s="1" t="s">
        <v>1943</v>
      </c>
      <c r="C497" s="1" t="s">
        <v>1944</v>
      </c>
      <c r="D497" s="1"/>
      <c r="E497" s="1" t="s">
        <v>1945</v>
      </c>
      <c r="F497" s="1"/>
      <c r="G497" s="1">
        <v>313001</v>
      </c>
      <c r="H497" s="1">
        <v>0.75</v>
      </c>
    </row>
    <row r="498" spans="1:8" ht="21.75" customHeight="1">
      <c r="A498" s="1" t="str">
        <f>"IN30429514812392"</f>
        <v>IN30429514812392</v>
      </c>
      <c r="B498" s="1" t="s">
        <v>1946</v>
      </c>
      <c r="C498" s="1" t="s">
        <v>1947</v>
      </c>
      <c r="D498" s="1" t="s">
        <v>1948</v>
      </c>
      <c r="E498" s="1" t="s">
        <v>1942</v>
      </c>
      <c r="F498" s="1"/>
      <c r="G498" s="1">
        <v>313001</v>
      </c>
      <c r="H498" s="1">
        <v>0.75</v>
      </c>
    </row>
    <row r="499" spans="1:8" ht="21.75" customHeight="1">
      <c r="A499" s="1" t="str">
        <f>"1208180067759493"</f>
        <v>1208180067759493</v>
      </c>
      <c r="B499" s="1" t="s">
        <v>1950</v>
      </c>
      <c r="C499" s="1" t="s">
        <v>1951</v>
      </c>
      <c r="D499" s="1" t="s">
        <v>1952</v>
      </c>
      <c r="E499" s="1"/>
      <c r="F499" s="1" t="s">
        <v>1949</v>
      </c>
      <c r="G499" s="1">
        <v>314804</v>
      </c>
      <c r="H499" s="1">
        <v>15</v>
      </c>
    </row>
    <row r="500" spans="1:8" ht="21.75" customHeight="1">
      <c r="A500" s="1" t="str">
        <f>"1201060003869397"</f>
        <v>1201060003869397</v>
      </c>
      <c r="B500" s="1" t="s">
        <v>1954</v>
      </c>
      <c r="C500" s="1" t="s">
        <v>1955</v>
      </c>
      <c r="D500" s="1" t="s">
        <v>1953</v>
      </c>
      <c r="E500" s="1" t="s">
        <v>1887</v>
      </c>
      <c r="F500" s="1" t="s">
        <v>1953</v>
      </c>
      <c r="G500" s="1">
        <v>321001</v>
      </c>
      <c r="H500" s="1">
        <v>37.5</v>
      </c>
    </row>
    <row r="501" spans="1:8" ht="21.75" customHeight="1">
      <c r="A501" s="1" t="str">
        <f>"1203320013690660"</f>
        <v>1203320013690660</v>
      </c>
      <c r="B501" s="1" t="s">
        <v>1956</v>
      </c>
      <c r="C501" s="1" t="s">
        <v>1957</v>
      </c>
      <c r="D501" s="1"/>
      <c r="E501" s="1"/>
      <c r="F501" s="1" t="s">
        <v>1958</v>
      </c>
      <c r="G501" s="1">
        <v>321203</v>
      </c>
      <c r="H501" s="1">
        <v>168.75</v>
      </c>
    </row>
    <row r="502" spans="1:8" ht="21.75" customHeight="1">
      <c r="A502" s="1" t="str">
        <f>"1208180048599368"</f>
        <v>1208180048599368</v>
      </c>
      <c r="B502" s="1" t="s">
        <v>1959</v>
      </c>
      <c r="C502" s="1" t="s">
        <v>1960</v>
      </c>
      <c r="D502" s="1"/>
      <c r="E502" s="1"/>
      <c r="F502" s="1" t="s">
        <v>1953</v>
      </c>
      <c r="G502" s="1">
        <v>321205</v>
      </c>
      <c r="H502" s="1">
        <v>75</v>
      </c>
    </row>
    <row r="503" spans="1:8" ht="21.75" customHeight="1">
      <c r="A503" s="1" t="str">
        <f>"1203800000163063"</f>
        <v>1203800000163063</v>
      </c>
      <c r="B503" s="1" t="s">
        <v>1962</v>
      </c>
      <c r="C503" s="1" t="s">
        <v>1963</v>
      </c>
      <c r="D503" s="1" t="s">
        <v>1964</v>
      </c>
      <c r="E503" s="1" t="s">
        <v>1965</v>
      </c>
      <c r="F503" s="1" t="s">
        <v>1961</v>
      </c>
      <c r="G503" s="1">
        <v>322021</v>
      </c>
      <c r="H503" s="1">
        <v>150</v>
      </c>
    </row>
    <row r="504" spans="1:8" ht="21.75" customHeight="1">
      <c r="A504" s="1" t="str">
        <f>"1206590000095960"</f>
        <v>1206590000095960</v>
      </c>
      <c r="B504" s="1" t="s">
        <v>1966</v>
      </c>
      <c r="C504" s="1" t="s">
        <v>1967</v>
      </c>
      <c r="D504" s="1" t="s">
        <v>1968</v>
      </c>
      <c r="E504" s="1" t="s">
        <v>1969</v>
      </c>
      <c r="F504" s="1" t="s">
        <v>1961</v>
      </c>
      <c r="G504" s="1">
        <v>322021</v>
      </c>
      <c r="H504" s="1">
        <v>18.75</v>
      </c>
    </row>
    <row r="505" spans="1:8" ht="21.75" customHeight="1">
      <c r="A505" s="1" t="str">
        <f>"IN30023980274099"</f>
        <v>IN30023980274099</v>
      </c>
      <c r="B505" s="1" t="s">
        <v>1970</v>
      </c>
      <c r="C505" s="1" t="s">
        <v>1971</v>
      </c>
      <c r="D505" s="1" t="s">
        <v>1972</v>
      </c>
      <c r="E505" s="1" t="s">
        <v>1973</v>
      </c>
      <c r="F505" s="1"/>
      <c r="G505" s="1">
        <v>322201</v>
      </c>
      <c r="H505" s="1">
        <v>3.75</v>
      </c>
    </row>
    <row r="506" spans="1:8" ht="21.75" customHeight="1">
      <c r="A506" s="1" t="str">
        <f>"IN30429514766408"</f>
        <v>IN30429514766408</v>
      </c>
      <c r="B506" s="1" t="s">
        <v>1974</v>
      </c>
      <c r="C506" s="1" t="s">
        <v>1975</v>
      </c>
      <c r="D506" s="1"/>
      <c r="E506" s="1" t="s">
        <v>1976</v>
      </c>
      <c r="F506" s="1"/>
      <c r="G506" s="1">
        <v>323307</v>
      </c>
      <c r="H506" s="1">
        <v>0.75</v>
      </c>
    </row>
    <row r="507" spans="1:8" ht="21.75" customHeight="1">
      <c r="A507" s="1" t="str">
        <f>"1208180019270045"</f>
        <v>1208180019270045</v>
      </c>
      <c r="B507" s="1" t="s">
        <v>1977</v>
      </c>
      <c r="C507" s="1" t="s">
        <v>1978</v>
      </c>
      <c r="D507" s="1" t="s">
        <v>1979</v>
      </c>
      <c r="E507" s="1"/>
      <c r="F507" s="1" t="s">
        <v>155</v>
      </c>
      <c r="G507" s="1">
        <v>324001</v>
      </c>
      <c r="H507" s="1">
        <v>15</v>
      </c>
    </row>
    <row r="508" spans="1:8" ht="21.75" customHeight="1">
      <c r="A508" s="1" t="str">
        <f>"1208870011936708"</f>
        <v>1208870011936708</v>
      </c>
      <c r="B508" s="1" t="s">
        <v>1980</v>
      </c>
      <c r="C508" s="1" t="s">
        <v>1981</v>
      </c>
      <c r="D508" s="1" t="s">
        <v>1982</v>
      </c>
      <c r="E508" s="1" t="s">
        <v>410</v>
      </c>
      <c r="F508" s="1" t="s">
        <v>155</v>
      </c>
      <c r="G508" s="1">
        <v>324002</v>
      </c>
      <c r="H508" s="1">
        <v>1.5</v>
      </c>
    </row>
    <row r="509" spans="1:8" ht="21.75" customHeight="1">
      <c r="A509" s="1" t="str">
        <f>"1203320039186208"</f>
        <v>1203320039186208</v>
      </c>
      <c r="B509" s="1" t="s">
        <v>1983</v>
      </c>
      <c r="C509" s="1" t="s">
        <v>1984</v>
      </c>
      <c r="D509" s="1" t="s">
        <v>1985</v>
      </c>
      <c r="E509" s="1" t="s">
        <v>1986</v>
      </c>
      <c r="F509" s="1" t="s">
        <v>155</v>
      </c>
      <c r="G509" s="1">
        <v>324002</v>
      </c>
      <c r="H509" s="1">
        <v>158.25</v>
      </c>
    </row>
    <row r="510" spans="1:8" ht="21.75" customHeight="1">
      <c r="A510" s="1" t="str">
        <f>"1208870025038741"</f>
        <v>1208870025038741</v>
      </c>
      <c r="B510" s="1" t="s">
        <v>1987</v>
      </c>
      <c r="C510" s="1" t="s">
        <v>1988</v>
      </c>
      <c r="D510" s="1" t="s">
        <v>1989</v>
      </c>
      <c r="E510" s="1" t="s">
        <v>1990</v>
      </c>
      <c r="F510" s="1" t="s">
        <v>155</v>
      </c>
      <c r="G510" s="1">
        <v>324005</v>
      </c>
      <c r="H510" s="1">
        <v>2.25</v>
      </c>
    </row>
    <row r="511" spans="1:8" ht="21.75" customHeight="1">
      <c r="A511" s="1" t="str">
        <f>"1208180034003001"</f>
        <v>1208180034003001</v>
      </c>
      <c r="B511" s="1" t="s">
        <v>1991</v>
      </c>
      <c r="C511" s="1" t="s">
        <v>1992</v>
      </c>
      <c r="D511" s="1" t="s">
        <v>1993</v>
      </c>
      <c r="E511" s="1" t="s">
        <v>1994</v>
      </c>
      <c r="F511" s="1" t="s">
        <v>155</v>
      </c>
      <c r="G511" s="1">
        <v>325001</v>
      </c>
      <c r="H511" s="1">
        <v>18.75</v>
      </c>
    </row>
    <row r="512" spans="1:8" ht="21.75" customHeight="1">
      <c r="A512" s="1" t="str">
        <f>"1208870017679174"</f>
        <v>1208870017679174</v>
      </c>
      <c r="B512" s="1" t="s">
        <v>1996</v>
      </c>
      <c r="C512" s="1" t="s">
        <v>1997</v>
      </c>
      <c r="D512" s="1" t="s">
        <v>1998</v>
      </c>
      <c r="E512" s="1" t="s">
        <v>1999</v>
      </c>
      <c r="F512" s="1" t="s">
        <v>1995</v>
      </c>
      <c r="G512" s="1">
        <v>327001</v>
      </c>
      <c r="H512" s="1">
        <v>6</v>
      </c>
    </row>
    <row r="513" spans="1:8" ht="21.75" customHeight="1">
      <c r="A513" s="1" t="str">
        <f>"1208160019203902"</f>
        <v>1208160019203902</v>
      </c>
      <c r="B513" s="1" t="s">
        <v>2000</v>
      </c>
      <c r="C513" s="1" t="s">
        <v>2001</v>
      </c>
      <c r="D513" s="1" t="s">
        <v>410</v>
      </c>
      <c r="E513" s="1"/>
      <c r="F513" s="1" t="s">
        <v>1995</v>
      </c>
      <c r="G513" s="1">
        <v>327801</v>
      </c>
      <c r="H513" s="1">
        <v>37.5</v>
      </c>
    </row>
    <row r="514" spans="1:8" ht="21.75" customHeight="1">
      <c r="A514" s="1" t="str">
        <f>"1201210100486805"</f>
        <v>1201210100486805</v>
      </c>
      <c r="B514" s="1" t="s">
        <v>2002</v>
      </c>
      <c r="C514" s="1" t="s">
        <v>2003</v>
      </c>
      <c r="D514" s="1" t="s">
        <v>2004</v>
      </c>
      <c r="E514" s="1" t="s">
        <v>410</v>
      </c>
      <c r="F514" s="1" t="s">
        <v>2005</v>
      </c>
      <c r="G514" s="1">
        <v>331023</v>
      </c>
      <c r="H514" s="1">
        <v>7.5</v>
      </c>
    </row>
    <row r="515" spans="1:8" ht="21.75" customHeight="1">
      <c r="A515" s="1" t="str">
        <f>"1208160025688359"</f>
        <v>1208160025688359</v>
      </c>
      <c r="B515" s="1" t="s">
        <v>2007</v>
      </c>
      <c r="C515" s="1" t="s">
        <v>2008</v>
      </c>
      <c r="D515" s="1" t="s">
        <v>410</v>
      </c>
      <c r="E515" s="1"/>
      <c r="F515" s="1" t="s">
        <v>2006</v>
      </c>
      <c r="G515" s="1">
        <v>331518</v>
      </c>
      <c r="H515" s="1">
        <v>33</v>
      </c>
    </row>
    <row r="516" spans="1:8" ht="21.75" customHeight="1">
      <c r="A516" s="1" t="str">
        <f>"1204470016048766"</f>
        <v>1204470016048766</v>
      </c>
      <c r="B516" s="1" t="s">
        <v>2009</v>
      </c>
      <c r="C516" s="1" t="s">
        <v>2010</v>
      </c>
      <c r="D516" s="1" t="s">
        <v>2011</v>
      </c>
      <c r="E516" s="1" t="s">
        <v>2012</v>
      </c>
      <c r="F516" s="1" t="s">
        <v>2006</v>
      </c>
      <c r="G516" s="1">
        <v>331803</v>
      </c>
      <c r="H516" s="1">
        <v>5.25</v>
      </c>
    </row>
    <row r="517" spans="1:8" ht="21.75" customHeight="1">
      <c r="A517" s="1" t="str">
        <f>"1203320031854586"</f>
        <v>1203320031854586</v>
      </c>
      <c r="B517" s="1" t="s">
        <v>2014</v>
      </c>
      <c r="C517" s="1" t="s">
        <v>2015</v>
      </c>
      <c r="D517" s="1" t="s">
        <v>2016</v>
      </c>
      <c r="E517" s="1"/>
      <c r="F517" s="1" t="s">
        <v>2013</v>
      </c>
      <c r="G517" s="1">
        <v>332317</v>
      </c>
      <c r="H517" s="1">
        <v>1.5</v>
      </c>
    </row>
    <row r="518" spans="1:8" ht="21.75" customHeight="1">
      <c r="A518" s="1" t="str">
        <f>"1208250024799224"</f>
        <v>1208250024799224</v>
      </c>
      <c r="B518" s="1" t="s">
        <v>2017</v>
      </c>
      <c r="C518" s="1" t="s">
        <v>2018</v>
      </c>
      <c r="D518" s="1" t="s">
        <v>2019</v>
      </c>
      <c r="E518" s="1"/>
      <c r="F518" s="1" t="s">
        <v>2013</v>
      </c>
      <c r="G518" s="1">
        <v>332712</v>
      </c>
      <c r="H518" s="1">
        <v>0.75</v>
      </c>
    </row>
    <row r="519" spans="1:8" ht="21.75" customHeight="1">
      <c r="A519" s="1" t="str">
        <f>"1208870024081767"</f>
        <v>1208870024081767</v>
      </c>
      <c r="B519" s="1" t="s">
        <v>2021</v>
      </c>
      <c r="C519" s="1" t="s">
        <v>2022</v>
      </c>
      <c r="D519" s="1" t="s">
        <v>2023</v>
      </c>
      <c r="E519" s="1" t="s">
        <v>2024</v>
      </c>
      <c r="F519" s="1" t="s">
        <v>2020</v>
      </c>
      <c r="G519" s="1">
        <v>333001</v>
      </c>
      <c r="H519" s="1">
        <v>56.25</v>
      </c>
    </row>
    <row r="520" spans="1:8" ht="21.75" customHeight="1">
      <c r="A520" s="1" t="str">
        <f>"1208870060115317"</f>
        <v>1208870060115317</v>
      </c>
      <c r="B520" s="1" t="s">
        <v>2025</v>
      </c>
      <c r="C520" s="1" t="s">
        <v>2026</v>
      </c>
      <c r="D520" s="1" t="s">
        <v>2027</v>
      </c>
      <c r="E520" s="1" t="s">
        <v>1887</v>
      </c>
      <c r="F520" s="1" t="s">
        <v>2020</v>
      </c>
      <c r="G520" s="1">
        <v>333021</v>
      </c>
      <c r="H520" s="1">
        <v>52.5</v>
      </c>
    </row>
    <row r="521" spans="1:8" ht="21.75" customHeight="1">
      <c r="A521" s="1" t="str">
        <f>"1208870007029831"</f>
        <v>1208870007029831</v>
      </c>
      <c r="B521" s="1" t="s">
        <v>1445</v>
      </c>
      <c r="C521" s="1" t="s">
        <v>2028</v>
      </c>
      <c r="D521" s="1" t="s">
        <v>410</v>
      </c>
      <c r="E521" s="1" t="s">
        <v>410</v>
      </c>
      <c r="F521" s="1" t="s">
        <v>2020</v>
      </c>
      <c r="G521" s="1">
        <v>333026</v>
      </c>
      <c r="H521" s="1">
        <v>1.5</v>
      </c>
    </row>
    <row r="522" spans="1:8" ht="21.75" customHeight="1">
      <c r="A522" s="1" t="str">
        <f>"1208160031702827"</f>
        <v>1208160031702827</v>
      </c>
      <c r="B522" s="1" t="s">
        <v>2029</v>
      </c>
      <c r="C522" s="1" t="s">
        <v>2030</v>
      </c>
      <c r="D522" s="1"/>
      <c r="E522" s="1"/>
      <c r="F522" s="1" t="s">
        <v>2020</v>
      </c>
      <c r="G522" s="1">
        <v>333501</v>
      </c>
      <c r="H522" s="1">
        <v>37.5</v>
      </c>
    </row>
    <row r="523" spans="1:8" ht="21.75" customHeight="1">
      <c r="A523" s="1" t="str">
        <f>"1208870014145781"</f>
        <v>1208870014145781</v>
      </c>
      <c r="B523" s="1" t="s">
        <v>2032</v>
      </c>
      <c r="C523" s="1" t="s">
        <v>2033</v>
      </c>
      <c r="D523" s="1" t="s">
        <v>2034</v>
      </c>
      <c r="E523" s="1" t="s">
        <v>2035</v>
      </c>
      <c r="F523" s="1" t="s">
        <v>2031</v>
      </c>
      <c r="G523" s="1">
        <v>334001</v>
      </c>
      <c r="H523" s="1">
        <v>2.25</v>
      </c>
    </row>
    <row r="524" spans="1:8" ht="21.75" customHeight="1">
      <c r="A524" s="1" t="str">
        <f>"1203600001037680"</f>
        <v>1203600001037680</v>
      </c>
      <c r="B524" s="1" t="s">
        <v>2036</v>
      </c>
      <c r="C524" s="1" t="s">
        <v>2037</v>
      </c>
      <c r="D524" s="1" t="s">
        <v>2038</v>
      </c>
      <c r="E524" s="1" t="s">
        <v>2039</v>
      </c>
      <c r="F524" s="1" t="s">
        <v>2040</v>
      </c>
      <c r="G524" s="1">
        <v>335001</v>
      </c>
      <c r="H524" s="1">
        <v>7.5</v>
      </c>
    </row>
    <row r="525" spans="1:8" ht="21.75" customHeight="1">
      <c r="A525" s="1" t="str">
        <f>"1208870068127246"</f>
        <v>1208870068127246</v>
      </c>
      <c r="B525" s="1" t="s">
        <v>2042</v>
      </c>
      <c r="C525" s="1" t="s">
        <v>2043</v>
      </c>
      <c r="D525" s="1" t="s">
        <v>2044</v>
      </c>
      <c r="E525" s="1" t="s">
        <v>410</v>
      </c>
      <c r="F525" s="1" t="s">
        <v>2041</v>
      </c>
      <c r="G525" s="1">
        <v>335524</v>
      </c>
      <c r="H525" s="1">
        <v>30.75</v>
      </c>
    </row>
    <row r="526" spans="1:8" ht="21.75" customHeight="1">
      <c r="A526" s="1" t="str">
        <f>"1201910101987891"</f>
        <v>1201910101987891</v>
      </c>
      <c r="B526" s="1" t="s">
        <v>2045</v>
      </c>
      <c r="C526" s="1" t="s">
        <v>2046</v>
      </c>
      <c r="D526" s="1" t="s">
        <v>2047</v>
      </c>
      <c r="E526" s="1"/>
      <c r="F526" s="1" t="s">
        <v>2048</v>
      </c>
      <c r="G526" s="1">
        <v>335524</v>
      </c>
      <c r="H526" s="1">
        <v>3</v>
      </c>
    </row>
    <row r="527" spans="1:8" ht="21.75" customHeight="1">
      <c r="A527" s="1" t="str">
        <f>"1208870002628606"</f>
        <v>1208870002628606</v>
      </c>
      <c r="B527" s="1" t="s">
        <v>2049</v>
      </c>
      <c r="C527" s="1" t="s">
        <v>2050</v>
      </c>
      <c r="D527" s="1" t="s">
        <v>2051</v>
      </c>
      <c r="E527" s="1" t="s">
        <v>410</v>
      </c>
      <c r="F527" s="1" t="s">
        <v>2041</v>
      </c>
      <c r="G527" s="1">
        <v>335802</v>
      </c>
      <c r="H527" s="1">
        <v>15</v>
      </c>
    </row>
    <row r="528" spans="1:8" ht="21.75" customHeight="1">
      <c r="A528" s="1" t="str">
        <f>"1208870081490021"</f>
        <v>1208870081490021</v>
      </c>
      <c r="B528" s="1" t="s">
        <v>2053</v>
      </c>
      <c r="C528" s="1" t="s">
        <v>2054</v>
      </c>
      <c r="D528" s="1" t="s">
        <v>2055</v>
      </c>
      <c r="E528" s="1" t="s">
        <v>2056</v>
      </c>
      <c r="F528" s="1" t="s">
        <v>2052</v>
      </c>
      <c r="G528" s="1">
        <v>341023</v>
      </c>
      <c r="H528" s="1">
        <v>75</v>
      </c>
    </row>
    <row r="529" spans="1:8" ht="21.75" customHeight="1">
      <c r="A529" s="1" t="str">
        <f>"1208180025633307"</f>
        <v>1208180025633307</v>
      </c>
      <c r="B529" s="1" t="s">
        <v>2057</v>
      </c>
      <c r="C529" s="1" t="s">
        <v>2058</v>
      </c>
      <c r="D529" s="1" t="s">
        <v>2059</v>
      </c>
      <c r="E529" s="1"/>
      <c r="F529" s="1" t="s">
        <v>2052</v>
      </c>
      <c r="G529" s="1">
        <v>341509</v>
      </c>
      <c r="H529" s="1">
        <v>37.5</v>
      </c>
    </row>
    <row r="530" spans="1:8" ht="21.75" customHeight="1">
      <c r="A530" s="1" t="str">
        <f>"1201090002393005"</f>
        <v>1201090002393005</v>
      </c>
      <c r="B530" s="1" t="s">
        <v>2061</v>
      </c>
      <c r="C530" s="1" t="s">
        <v>2062</v>
      </c>
      <c r="D530" s="1" t="s">
        <v>2063</v>
      </c>
      <c r="E530" s="1" t="s">
        <v>2064</v>
      </c>
      <c r="F530" s="1" t="s">
        <v>2060</v>
      </c>
      <c r="G530" s="1">
        <v>342005</v>
      </c>
      <c r="H530" s="1">
        <v>11.25</v>
      </c>
    </row>
    <row r="531" spans="1:8" ht="21.75" customHeight="1">
      <c r="A531" s="1" t="str">
        <f>"1208250007553959"</f>
        <v>1208250007553959</v>
      </c>
      <c r="B531" s="1" t="s">
        <v>2065</v>
      </c>
      <c r="C531" s="1" t="s">
        <v>2066</v>
      </c>
      <c r="D531" s="1" t="s">
        <v>2067</v>
      </c>
      <c r="E531" s="1"/>
      <c r="F531" s="1" t="s">
        <v>2060</v>
      </c>
      <c r="G531" s="1">
        <v>342006</v>
      </c>
      <c r="H531" s="1">
        <v>11.25</v>
      </c>
    </row>
    <row r="532" spans="1:8" ht="21.75" customHeight="1">
      <c r="A532" s="1" t="str">
        <f>"IN30302892450558"</f>
        <v>IN30302892450558</v>
      </c>
      <c r="B532" s="1" t="s">
        <v>2068</v>
      </c>
      <c r="C532" s="1" t="s">
        <v>2069</v>
      </c>
      <c r="D532" s="1" t="s">
        <v>2070</v>
      </c>
      <c r="E532" s="1" t="s">
        <v>2071</v>
      </c>
      <c r="F532" s="1"/>
      <c r="G532" s="1">
        <v>342008</v>
      </c>
      <c r="H532" s="1">
        <v>18.75</v>
      </c>
    </row>
    <row r="533" spans="1:8" ht="21.75" customHeight="1">
      <c r="A533" s="1" t="str">
        <f>"1208180048631905"</f>
        <v>1208180048631905</v>
      </c>
      <c r="B533" s="1" t="s">
        <v>2072</v>
      </c>
      <c r="C533" s="1" t="s">
        <v>2073</v>
      </c>
      <c r="D533" s="1" t="s">
        <v>2074</v>
      </c>
      <c r="E533" s="1" t="s">
        <v>2075</v>
      </c>
      <c r="F533" s="1" t="s">
        <v>1917</v>
      </c>
      <c r="G533" s="1">
        <v>344022</v>
      </c>
      <c r="H533" s="1">
        <v>26.25</v>
      </c>
    </row>
    <row r="534" spans="1:8" ht="21.75" customHeight="1">
      <c r="A534" s="1" t="str">
        <f>"1203320015005142"</f>
        <v>1203320015005142</v>
      </c>
      <c r="B534" s="1" t="s">
        <v>2076</v>
      </c>
      <c r="C534" s="1" t="s">
        <v>2077</v>
      </c>
      <c r="D534" s="1" t="s">
        <v>1917</v>
      </c>
      <c r="E534" s="1"/>
      <c r="F534" s="1" t="s">
        <v>1917</v>
      </c>
      <c r="G534" s="1">
        <v>344702</v>
      </c>
      <c r="H534" s="1">
        <v>7.5</v>
      </c>
    </row>
    <row r="535" spans="1:8" ht="21.75" customHeight="1">
      <c r="A535" s="1" t="str">
        <f>"1208180011018772"</f>
        <v>1208180011018772</v>
      </c>
      <c r="B535" s="1" t="s">
        <v>2080</v>
      </c>
      <c r="C535" s="1" t="s">
        <v>2081</v>
      </c>
      <c r="D535" s="1"/>
      <c r="E535" s="1"/>
      <c r="F535" s="1" t="s">
        <v>2079</v>
      </c>
      <c r="G535" s="1">
        <v>345001</v>
      </c>
      <c r="H535" s="1">
        <v>37.5</v>
      </c>
    </row>
    <row r="536" spans="1:8" ht="21.75" customHeight="1">
      <c r="A536" s="1" t="str">
        <f>"1208180016846129"</f>
        <v>1208180016846129</v>
      </c>
      <c r="B536" s="1" t="s">
        <v>2082</v>
      </c>
      <c r="C536" s="1" t="s">
        <v>2083</v>
      </c>
      <c r="D536" s="1" t="s">
        <v>2084</v>
      </c>
      <c r="E536" s="1"/>
      <c r="F536" s="1" t="s">
        <v>2079</v>
      </c>
      <c r="G536" s="1">
        <v>345001</v>
      </c>
      <c r="H536" s="1">
        <v>52.5</v>
      </c>
    </row>
    <row r="537" spans="1:8" ht="21.75" customHeight="1">
      <c r="A537" s="1" t="str">
        <f>"1203320008535490"</f>
        <v>1203320008535490</v>
      </c>
      <c r="B537" s="1" t="s">
        <v>2086</v>
      </c>
      <c r="C537" s="1" t="s">
        <v>2087</v>
      </c>
      <c r="D537" s="1" t="s">
        <v>2088</v>
      </c>
      <c r="E537" s="1"/>
      <c r="F537" s="1" t="s">
        <v>2085</v>
      </c>
      <c r="G537" s="1">
        <v>360001</v>
      </c>
      <c r="H537" s="1">
        <v>150</v>
      </c>
    </row>
    <row r="538" spans="1:8" ht="21.75" customHeight="1">
      <c r="A538" s="1" t="str">
        <f>"1208160056208831"</f>
        <v>1208160056208831</v>
      </c>
      <c r="B538" s="1" t="s">
        <v>2089</v>
      </c>
      <c r="C538" s="1" t="s">
        <v>2090</v>
      </c>
      <c r="D538" s="1"/>
      <c r="E538" s="1"/>
      <c r="F538" s="1" t="s">
        <v>2085</v>
      </c>
      <c r="G538" s="1">
        <v>360003</v>
      </c>
      <c r="H538" s="1">
        <v>0.75</v>
      </c>
    </row>
    <row r="539" spans="1:8" ht="21.75" customHeight="1">
      <c r="A539" s="1" t="str">
        <f>"1203320066340882"</f>
        <v>1203320066340882</v>
      </c>
      <c r="B539" s="1" t="s">
        <v>2091</v>
      </c>
      <c r="C539" s="1" t="s">
        <v>2092</v>
      </c>
      <c r="D539" s="1"/>
      <c r="E539" s="1"/>
      <c r="F539" s="1" t="s">
        <v>2085</v>
      </c>
      <c r="G539" s="1">
        <v>360380</v>
      </c>
      <c r="H539" s="1">
        <v>18.75</v>
      </c>
    </row>
    <row r="540" spans="1:8" ht="21.75" customHeight="1">
      <c r="A540" s="1" t="str">
        <f>"1203320010803544"</f>
        <v>1203320010803544</v>
      </c>
      <c r="B540" s="1" t="s">
        <v>2094</v>
      </c>
      <c r="C540" s="1" t="s">
        <v>2095</v>
      </c>
      <c r="D540" s="1" t="s">
        <v>2096</v>
      </c>
      <c r="E540" s="1" t="s">
        <v>2097</v>
      </c>
      <c r="F540" s="1" t="s">
        <v>2093</v>
      </c>
      <c r="G540" s="1">
        <v>361001</v>
      </c>
      <c r="H540" s="1">
        <v>112.5</v>
      </c>
    </row>
    <row r="541" spans="1:8" ht="21.75" customHeight="1">
      <c r="A541" s="1" t="str">
        <f>"1203320010640874"</f>
        <v>1203320010640874</v>
      </c>
      <c r="B541" s="1" t="s">
        <v>2098</v>
      </c>
      <c r="C541" s="1" t="s">
        <v>2099</v>
      </c>
      <c r="D541" s="1" t="s">
        <v>2100</v>
      </c>
      <c r="E541" s="1" t="s">
        <v>2101</v>
      </c>
      <c r="F541" s="1" t="s">
        <v>2093</v>
      </c>
      <c r="G541" s="1">
        <v>361007</v>
      </c>
      <c r="H541" s="1">
        <v>75</v>
      </c>
    </row>
    <row r="542" spans="1:8" ht="21.75" customHeight="1">
      <c r="A542" s="1" t="str">
        <f>"1208160003510140"</f>
        <v>1208160003510140</v>
      </c>
      <c r="B542" s="1" t="s">
        <v>2103</v>
      </c>
      <c r="C542" s="1" t="s">
        <v>2104</v>
      </c>
      <c r="D542" s="1" t="s">
        <v>2105</v>
      </c>
      <c r="E542" s="1"/>
      <c r="F542" s="1" t="s">
        <v>2102</v>
      </c>
      <c r="G542" s="1">
        <v>362002</v>
      </c>
      <c r="H542" s="1">
        <v>7.5</v>
      </c>
    </row>
    <row r="543" spans="1:8" ht="21.75" customHeight="1">
      <c r="A543" s="1" t="str">
        <f>"IN30267934924602"</f>
        <v>IN30267934924602</v>
      </c>
      <c r="B543" s="1" t="s">
        <v>2106</v>
      </c>
      <c r="C543" s="1" t="s">
        <v>2107</v>
      </c>
      <c r="D543" s="1" t="s">
        <v>2108</v>
      </c>
      <c r="E543" s="1" t="s">
        <v>2109</v>
      </c>
      <c r="F543" s="1"/>
      <c r="G543" s="1">
        <v>362220</v>
      </c>
      <c r="H543" s="1">
        <v>88.5</v>
      </c>
    </row>
    <row r="544" spans="1:8" ht="21.75" customHeight="1">
      <c r="A544" s="1" t="str">
        <f>"IN30097412350902"</f>
        <v>IN30097412350902</v>
      </c>
      <c r="B544" s="1" t="s">
        <v>2110</v>
      </c>
      <c r="C544" s="1" t="s">
        <v>2111</v>
      </c>
      <c r="D544" s="1" t="s">
        <v>2112</v>
      </c>
      <c r="E544" s="1" t="s">
        <v>2113</v>
      </c>
      <c r="F544" s="1"/>
      <c r="G544" s="1">
        <v>362265</v>
      </c>
      <c r="H544" s="1">
        <v>10.5</v>
      </c>
    </row>
    <row r="545" spans="1:8" ht="21.75" customHeight="1">
      <c r="A545" s="1" t="str">
        <f>"1204470015708244"</f>
        <v>1204470015708244</v>
      </c>
      <c r="B545" s="1" t="s">
        <v>2114</v>
      </c>
      <c r="C545" s="1" t="s">
        <v>2115</v>
      </c>
      <c r="D545" s="1" t="s">
        <v>2116</v>
      </c>
      <c r="E545" s="1" t="s">
        <v>2117</v>
      </c>
      <c r="F545" s="1" t="s">
        <v>2102</v>
      </c>
      <c r="G545" s="1">
        <v>362310</v>
      </c>
      <c r="H545" s="1">
        <v>18.75</v>
      </c>
    </row>
    <row r="546" spans="1:8" ht="21.75" customHeight="1">
      <c r="A546" s="1" t="str">
        <f>"1208160086712971"</f>
        <v>1208160086712971</v>
      </c>
      <c r="B546" s="1" t="s">
        <v>2119</v>
      </c>
      <c r="C546" s="1" t="s">
        <v>2120</v>
      </c>
      <c r="D546" s="1"/>
      <c r="E546" s="1"/>
      <c r="F546" s="1" t="s">
        <v>2118</v>
      </c>
      <c r="G546" s="1">
        <v>363415</v>
      </c>
      <c r="H546" s="1">
        <v>18.75</v>
      </c>
    </row>
    <row r="547" spans="1:8" ht="21.75" customHeight="1">
      <c r="A547" s="1" t="str">
        <f>"IN30373510024488"</f>
        <v>IN30373510024488</v>
      </c>
      <c r="B547" s="1" t="s">
        <v>2121</v>
      </c>
      <c r="C547" s="1" t="s">
        <v>2122</v>
      </c>
      <c r="D547" s="1" t="s">
        <v>2123</v>
      </c>
      <c r="E547" s="1" t="s">
        <v>2124</v>
      </c>
      <c r="F547" s="1"/>
      <c r="G547" s="1">
        <v>364001</v>
      </c>
      <c r="H547" s="1">
        <v>25.5</v>
      </c>
    </row>
    <row r="548" spans="1:8" ht="21.75" customHeight="1">
      <c r="A548" s="1" t="str">
        <f>"IN30021421162962"</f>
        <v>IN30021421162962</v>
      </c>
      <c r="B548" s="1" t="s">
        <v>2125</v>
      </c>
      <c r="C548" s="1" t="s">
        <v>2126</v>
      </c>
      <c r="D548" s="1" t="s">
        <v>2127</v>
      </c>
      <c r="E548" s="1" t="s">
        <v>2128</v>
      </c>
      <c r="F548" s="1"/>
      <c r="G548" s="1">
        <v>364001</v>
      </c>
      <c r="H548" s="1">
        <v>75</v>
      </c>
    </row>
    <row r="549" spans="1:8" ht="21.75" customHeight="1">
      <c r="A549" s="1" t="str">
        <f>"1208160058168393"</f>
        <v>1208160058168393</v>
      </c>
      <c r="B549" s="1" t="s">
        <v>2129</v>
      </c>
      <c r="C549" s="1" t="s">
        <v>2130</v>
      </c>
      <c r="D549" s="1" t="s">
        <v>2131</v>
      </c>
      <c r="E549" s="1"/>
      <c r="F549" s="1" t="s">
        <v>2132</v>
      </c>
      <c r="G549" s="1">
        <v>370001</v>
      </c>
      <c r="H549" s="1">
        <v>0.75</v>
      </c>
    </row>
    <row r="550" spans="1:8" ht="21.75" customHeight="1">
      <c r="A550" s="1" t="str">
        <f>"1204470000111357"</f>
        <v>1204470000111357</v>
      </c>
      <c r="B550" s="1" t="s">
        <v>2133</v>
      </c>
      <c r="C550" s="1" t="s">
        <v>2134</v>
      </c>
      <c r="D550" s="1" t="s">
        <v>2135</v>
      </c>
      <c r="E550" s="1" t="s">
        <v>2136</v>
      </c>
      <c r="F550" s="1" t="s">
        <v>763</v>
      </c>
      <c r="G550" s="1">
        <v>380001</v>
      </c>
      <c r="H550" s="1">
        <v>31.5</v>
      </c>
    </row>
    <row r="551" spans="1:8" ht="21.75" customHeight="1">
      <c r="A551" s="1" t="str">
        <f>"IN30021411640669"</f>
        <v>IN30021411640669</v>
      </c>
      <c r="B551" s="1" t="s">
        <v>2137</v>
      </c>
      <c r="C551" s="1" t="s">
        <v>2138</v>
      </c>
      <c r="D551" s="1" t="s">
        <v>2139</v>
      </c>
      <c r="E551" s="1" t="s">
        <v>2140</v>
      </c>
      <c r="F551" s="1"/>
      <c r="G551" s="1">
        <v>380007</v>
      </c>
      <c r="H551" s="1">
        <v>75</v>
      </c>
    </row>
    <row r="552" spans="1:8" ht="21.75" customHeight="1">
      <c r="A552" s="1" t="str">
        <f>"1208870084525172"</f>
        <v>1208870084525172</v>
      </c>
      <c r="B552" s="1" t="s">
        <v>2141</v>
      </c>
      <c r="C552" s="1" t="s">
        <v>2142</v>
      </c>
      <c r="D552" s="1" t="s">
        <v>2143</v>
      </c>
      <c r="E552" s="1" t="s">
        <v>2144</v>
      </c>
      <c r="F552" s="1" t="s">
        <v>763</v>
      </c>
      <c r="G552" s="1">
        <v>380008</v>
      </c>
      <c r="H552" s="1">
        <v>0.75</v>
      </c>
    </row>
    <row r="553" spans="1:8" ht="21.75" customHeight="1">
      <c r="A553" s="1" t="str">
        <f>"1208870075157797"</f>
        <v>1208870075157797</v>
      </c>
      <c r="B553" s="1" t="s">
        <v>2145</v>
      </c>
      <c r="C553" s="1" t="s">
        <v>2146</v>
      </c>
      <c r="D553" s="1" t="s">
        <v>2147</v>
      </c>
      <c r="E553" s="1" t="s">
        <v>410</v>
      </c>
      <c r="F553" s="1" t="s">
        <v>763</v>
      </c>
      <c r="G553" s="1">
        <v>380008</v>
      </c>
      <c r="H553" s="1">
        <v>3.75</v>
      </c>
    </row>
    <row r="554" spans="1:8" ht="21.75" customHeight="1">
      <c r="A554" s="1" t="str">
        <f>"1203320084449798"</f>
        <v>1203320084449798</v>
      </c>
      <c r="B554" s="1" t="s">
        <v>2148</v>
      </c>
      <c r="C554" s="1" t="s">
        <v>2149</v>
      </c>
      <c r="D554" s="1" t="s">
        <v>2150</v>
      </c>
      <c r="E554" s="1" t="s">
        <v>2151</v>
      </c>
      <c r="F554" s="1" t="s">
        <v>763</v>
      </c>
      <c r="G554" s="1">
        <v>380013</v>
      </c>
      <c r="H554" s="1">
        <v>4.5</v>
      </c>
    </row>
    <row r="555" spans="1:8" ht="21.75" customHeight="1">
      <c r="A555" s="1" t="str">
        <f>"1201910105016924"</f>
        <v>1201910105016924</v>
      </c>
      <c r="B555" s="1" t="s">
        <v>2152</v>
      </c>
      <c r="C555" s="1" t="s">
        <v>2153</v>
      </c>
      <c r="D555" s="1" t="s">
        <v>2154</v>
      </c>
      <c r="E555" s="1"/>
      <c r="F555" s="1" t="s">
        <v>763</v>
      </c>
      <c r="G555" s="1">
        <v>380013</v>
      </c>
      <c r="H555" s="1">
        <v>97</v>
      </c>
    </row>
    <row r="556" spans="1:8" ht="21.75" customHeight="1">
      <c r="A556" s="1" t="str">
        <f>"1201090004635822"</f>
        <v>1201090004635822</v>
      </c>
      <c r="B556" s="1" t="s">
        <v>2155</v>
      </c>
      <c r="C556" s="1" t="s">
        <v>2156</v>
      </c>
      <c r="D556" s="1" t="s">
        <v>2157</v>
      </c>
      <c r="E556" s="1" t="s">
        <v>2158</v>
      </c>
      <c r="F556" s="1" t="s">
        <v>2159</v>
      </c>
      <c r="G556" s="1">
        <v>380013</v>
      </c>
      <c r="H556" s="1">
        <v>262.5</v>
      </c>
    </row>
    <row r="557" spans="1:8" ht="21.75" customHeight="1">
      <c r="A557" s="1" t="str">
        <f>"1201060002880544"</f>
        <v>1201060002880544</v>
      </c>
      <c r="B557" s="1" t="s">
        <v>2160</v>
      </c>
      <c r="C557" s="1" t="s">
        <v>2161</v>
      </c>
      <c r="D557" s="1" t="s">
        <v>2162</v>
      </c>
      <c r="E557" s="1" t="s">
        <v>2163</v>
      </c>
      <c r="F557" s="1" t="s">
        <v>763</v>
      </c>
      <c r="G557" s="1">
        <v>380015</v>
      </c>
      <c r="H557" s="1">
        <v>7.5</v>
      </c>
    </row>
    <row r="558" spans="1:8" ht="21.75" customHeight="1">
      <c r="A558" s="1" t="str">
        <f>"IN30429526110992"</f>
        <v>IN30429526110992</v>
      </c>
      <c r="B558" s="1" t="s">
        <v>2164</v>
      </c>
      <c r="C558" s="1" t="s">
        <v>2165</v>
      </c>
      <c r="D558" s="1" t="s">
        <v>2166</v>
      </c>
      <c r="E558" s="1" t="s">
        <v>2167</v>
      </c>
      <c r="F558" s="1"/>
      <c r="G558" s="1">
        <v>380015</v>
      </c>
      <c r="H558" s="1">
        <v>7.5</v>
      </c>
    </row>
    <row r="559" spans="1:8" ht="21.75" customHeight="1">
      <c r="A559" s="1" t="str">
        <f>"IN30429526651982"</f>
        <v>IN30429526651982</v>
      </c>
      <c r="B559" s="1" t="s">
        <v>2168</v>
      </c>
      <c r="C559" s="1" t="s">
        <v>2169</v>
      </c>
      <c r="D559" s="1" t="s">
        <v>2170</v>
      </c>
      <c r="E559" s="1" t="s">
        <v>2171</v>
      </c>
      <c r="F559" s="1"/>
      <c r="G559" s="1">
        <v>380016</v>
      </c>
      <c r="H559" s="1">
        <v>1.5</v>
      </c>
    </row>
    <row r="560" spans="1:8" ht="21.75" customHeight="1">
      <c r="A560" s="1" t="str">
        <f>"1203320043811450"</f>
        <v>1203320043811450</v>
      </c>
      <c r="B560" s="1" t="s">
        <v>2172</v>
      </c>
      <c r="C560" s="1" t="s">
        <v>2173</v>
      </c>
      <c r="D560" s="1" t="s">
        <v>2174</v>
      </c>
      <c r="E560" s="1"/>
      <c r="F560" s="1" t="s">
        <v>763</v>
      </c>
      <c r="G560" s="1">
        <v>380027</v>
      </c>
      <c r="H560" s="1">
        <v>15</v>
      </c>
    </row>
    <row r="561" spans="1:8" ht="21.75" customHeight="1">
      <c r="A561" s="1" t="str">
        <f>"1203320025733173"</f>
        <v>1203320025733173</v>
      </c>
      <c r="B561" s="1" t="s">
        <v>2176</v>
      </c>
      <c r="C561" s="1" t="s">
        <v>2177</v>
      </c>
      <c r="D561" s="1" t="s">
        <v>2178</v>
      </c>
      <c r="E561" s="1" t="s">
        <v>2179</v>
      </c>
      <c r="F561" s="1" t="s">
        <v>763</v>
      </c>
      <c r="G561" s="1">
        <v>380051</v>
      </c>
      <c r="H561" s="1">
        <v>1485.75</v>
      </c>
    </row>
    <row r="562" spans="1:8" ht="21.75" customHeight="1">
      <c r="A562" s="1" t="str">
        <f>"1208870002745481"</f>
        <v>1208870002745481</v>
      </c>
      <c r="B562" s="1" t="s">
        <v>2180</v>
      </c>
      <c r="C562" s="1" t="s">
        <v>2181</v>
      </c>
      <c r="D562" s="1" t="s">
        <v>2182</v>
      </c>
      <c r="E562" s="1" t="s">
        <v>2183</v>
      </c>
      <c r="F562" s="1" t="s">
        <v>763</v>
      </c>
      <c r="G562" s="1">
        <v>382115</v>
      </c>
      <c r="H562" s="1">
        <v>1.5</v>
      </c>
    </row>
    <row r="563" spans="1:8" ht="21.75" customHeight="1">
      <c r="A563" s="1" t="str">
        <f>"1208180041892386"</f>
        <v>1208180041892386</v>
      </c>
      <c r="B563" s="1" t="s">
        <v>2184</v>
      </c>
      <c r="C563" s="1" t="s">
        <v>2185</v>
      </c>
      <c r="D563" s="1" t="s">
        <v>2186</v>
      </c>
      <c r="E563" s="1" t="s">
        <v>2187</v>
      </c>
      <c r="F563" s="1" t="s">
        <v>763</v>
      </c>
      <c r="G563" s="1">
        <v>382418</v>
      </c>
      <c r="H563" s="1">
        <v>18.75</v>
      </c>
    </row>
    <row r="564" spans="1:8" ht="21.75" customHeight="1">
      <c r="A564" s="1" t="str">
        <f>"1204470001488028"</f>
        <v>1204470001488028</v>
      </c>
      <c r="B564" s="1" t="s">
        <v>2188</v>
      </c>
      <c r="C564" s="1" t="s">
        <v>2189</v>
      </c>
      <c r="D564" s="1" t="s">
        <v>2190</v>
      </c>
      <c r="E564" s="1" t="s">
        <v>2191</v>
      </c>
      <c r="F564" s="1" t="s">
        <v>2192</v>
      </c>
      <c r="G564" s="1">
        <v>382424</v>
      </c>
      <c r="H564" s="1">
        <v>16.5</v>
      </c>
    </row>
    <row r="565" spans="1:8" ht="21.75" customHeight="1">
      <c r="A565" s="1" t="str">
        <f>"IN30429522611739"</f>
        <v>IN30429522611739</v>
      </c>
      <c r="B565" s="1" t="s">
        <v>2193</v>
      </c>
      <c r="C565" s="1" t="s">
        <v>2194</v>
      </c>
      <c r="D565" s="1" t="s">
        <v>2195</v>
      </c>
      <c r="E565" s="1" t="s">
        <v>2196</v>
      </c>
      <c r="F565" s="1"/>
      <c r="G565" s="1">
        <v>382424</v>
      </c>
      <c r="H565" s="1">
        <v>2.25</v>
      </c>
    </row>
    <row r="566" spans="1:8" ht="21.75" customHeight="1">
      <c r="A566" s="1" t="str">
        <f>"IN30302885447427"</f>
        <v>IN30302885447427</v>
      </c>
      <c r="B566" s="1" t="s">
        <v>2197</v>
      </c>
      <c r="C566" s="1" t="s">
        <v>2198</v>
      </c>
      <c r="D566" s="1" t="s">
        <v>2199</v>
      </c>
      <c r="E566" s="1" t="s">
        <v>2200</v>
      </c>
      <c r="F566" s="1"/>
      <c r="G566" s="1">
        <v>382480</v>
      </c>
      <c r="H566" s="1">
        <v>7.5</v>
      </c>
    </row>
    <row r="567" spans="1:8" ht="21.75" customHeight="1">
      <c r="A567" s="1" t="str">
        <f>"IN30177418127878"</f>
        <v>IN30177418127878</v>
      </c>
      <c r="B567" s="1" t="s">
        <v>2202</v>
      </c>
      <c r="C567" s="1" t="s">
        <v>2203</v>
      </c>
      <c r="D567" s="1" t="s">
        <v>2204</v>
      </c>
      <c r="E567" s="1" t="s">
        <v>772</v>
      </c>
      <c r="F567" s="1"/>
      <c r="G567" s="1">
        <v>384002</v>
      </c>
      <c r="H567" s="1">
        <v>0.75</v>
      </c>
    </row>
    <row r="568" spans="1:8" ht="21.75" customHeight="1">
      <c r="A568" s="1" t="str">
        <f>"1203320067534825"</f>
        <v>1203320067534825</v>
      </c>
      <c r="B568" s="1" t="s">
        <v>2205</v>
      </c>
      <c r="C568" s="1" t="s">
        <v>2206</v>
      </c>
      <c r="D568" s="1" t="s">
        <v>2207</v>
      </c>
      <c r="E568" s="1" t="s">
        <v>2208</v>
      </c>
      <c r="F568" s="1" t="s">
        <v>772</v>
      </c>
      <c r="G568" s="1">
        <v>384315</v>
      </c>
      <c r="H568" s="1">
        <v>4.5</v>
      </c>
    </row>
    <row r="569" spans="1:8" ht="21.75" customHeight="1">
      <c r="A569" s="1" t="str">
        <f>"IN30133022377421"</f>
        <v>IN30133022377421</v>
      </c>
      <c r="B569" s="1" t="s">
        <v>2209</v>
      </c>
      <c r="C569" s="1" t="s">
        <v>2210</v>
      </c>
      <c r="D569" s="1" t="s">
        <v>2211</v>
      </c>
      <c r="E569" s="1" t="s">
        <v>2212</v>
      </c>
      <c r="F569" s="1"/>
      <c r="G569" s="1">
        <v>384315</v>
      </c>
      <c r="H569" s="1">
        <v>0.75</v>
      </c>
    </row>
    <row r="570" spans="1:8" ht="21.75" customHeight="1">
      <c r="A570" s="1" t="str">
        <f>"IN30429524803989"</f>
        <v>IN30429524803989</v>
      </c>
      <c r="B570" s="1" t="s">
        <v>2213</v>
      </c>
      <c r="C570" s="1" t="s">
        <v>2214</v>
      </c>
      <c r="D570" s="1" t="s">
        <v>2215</v>
      </c>
      <c r="E570" s="1" t="s">
        <v>2216</v>
      </c>
      <c r="F570" s="1"/>
      <c r="G570" s="1">
        <v>387370</v>
      </c>
      <c r="H570" s="1">
        <v>1.5</v>
      </c>
    </row>
    <row r="571" spans="1:8" ht="21.75" customHeight="1">
      <c r="A571" s="1" t="str">
        <f>"IN30199110759943"</f>
        <v>IN30199110759943</v>
      </c>
      <c r="B571" s="1" t="s">
        <v>2217</v>
      </c>
      <c r="C571" s="1" t="s">
        <v>2218</v>
      </c>
      <c r="D571" s="1" t="s">
        <v>2219</v>
      </c>
      <c r="E571" s="1" t="s">
        <v>2220</v>
      </c>
      <c r="F571" s="1"/>
      <c r="G571" s="1">
        <v>389151</v>
      </c>
      <c r="H571" s="1">
        <v>150</v>
      </c>
    </row>
    <row r="572" spans="1:8" ht="21.75" customHeight="1">
      <c r="A572" s="1" t="str">
        <f>"1205910000177944"</f>
        <v>1205910000177944</v>
      </c>
      <c r="B572" s="1" t="s">
        <v>2221</v>
      </c>
      <c r="C572" s="1" t="s">
        <v>2222</v>
      </c>
      <c r="D572" s="1" t="s">
        <v>2223</v>
      </c>
      <c r="E572" s="1" t="s">
        <v>2224</v>
      </c>
      <c r="F572" s="1" t="s">
        <v>2220</v>
      </c>
      <c r="G572" s="1">
        <v>389170</v>
      </c>
      <c r="H572" s="1">
        <v>0.75</v>
      </c>
    </row>
    <row r="573" spans="1:8" ht="21.75" customHeight="1">
      <c r="A573" s="1" t="str">
        <f>"1204780000011232"</f>
        <v>1204780000011232</v>
      </c>
      <c r="B573" s="1" t="s">
        <v>2226</v>
      </c>
      <c r="C573" s="1" t="s">
        <v>2227</v>
      </c>
      <c r="D573" s="1" t="s">
        <v>2228</v>
      </c>
      <c r="E573" s="1" t="s">
        <v>2229</v>
      </c>
      <c r="F573" s="1" t="s">
        <v>2225</v>
      </c>
      <c r="G573" s="1">
        <v>389230</v>
      </c>
      <c r="H573" s="1">
        <v>90</v>
      </c>
    </row>
    <row r="574" spans="1:8" ht="21.75" customHeight="1">
      <c r="A574" s="1" t="str">
        <f>"1204200000215609"</f>
        <v>1204200000215609</v>
      </c>
      <c r="B574" s="1" t="s">
        <v>2231</v>
      </c>
      <c r="C574" s="1" t="s">
        <v>2232</v>
      </c>
      <c r="D574" s="1" t="s">
        <v>2233</v>
      </c>
      <c r="E574" s="1" t="s">
        <v>2234</v>
      </c>
      <c r="F574" s="1" t="s">
        <v>2230</v>
      </c>
      <c r="G574" s="1">
        <v>390001</v>
      </c>
      <c r="H574" s="1">
        <v>22.5</v>
      </c>
    </row>
    <row r="575" spans="1:8" ht="21.75" customHeight="1">
      <c r="A575" s="1" t="str">
        <f>"IN30021418505856"</f>
        <v>IN30021418505856</v>
      </c>
      <c r="B575" s="1" t="s">
        <v>2235</v>
      </c>
      <c r="C575" s="1" t="s">
        <v>2236</v>
      </c>
      <c r="D575" s="1" t="s">
        <v>2237</v>
      </c>
      <c r="E575" s="1" t="s">
        <v>2238</v>
      </c>
      <c r="F575" s="1"/>
      <c r="G575" s="1">
        <v>390012</v>
      </c>
      <c r="H575" s="1">
        <v>0.75</v>
      </c>
    </row>
    <row r="576" spans="1:8" ht="21.75" customHeight="1">
      <c r="A576" s="1" t="str">
        <f>"1208160006830483"</f>
        <v>1208160006830483</v>
      </c>
      <c r="B576" s="1" t="s">
        <v>2239</v>
      </c>
      <c r="C576" s="1" t="s">
        <v>2240</v>
      </c>
      <c r="D576" s="1" t="s">
        <v>2241</v>
      </c>
      <c r="E576" s="1"/>
      <c r="F576" s="1" t="s">
        <v>2230</v>
      </c>
      <c r="G576" s="1">
        <v>390016</v>
      </c>
      <c r="H576" s="1">
        <v>3.75</v>
      </c>
    </row>
    <row r="577" spans="1:8" ht="21.75" customHeight="1">
      <c r="A577" s="1" t="str">
        <f>"IN30311613096757"</f>
        <v>IN30311613096757</v>
      </c>
      <c r="B577" s="1" t="s">
        <v>2242</v>
      </c>
      <c r="C577" s="1" t="s">
        <v>2243</v>
      </c>
      <c r="D577" s="1" t="s">
        <v>2244</v>
      </c>
      <c r="E577" s="1" t="s">
        <v>2245</v>
      </c>
      <c r="F577" s="1"/>
      <c r="G577" s="1">
        <v>390020</v>
      </c>
      <c r="H577" s="1">
        <v>375</v>
      </c>
    </row>
    <row r="578" spans="1:8" ht="21.75" customHeight="1">
      <c r="A578" s="1" t="str">
        <f>"IN30267932148038"</f>
        <v>IN30267932148038</v>
      </c>
      <c r="B578" s="1" t="s">
        <v>2246</v>
      </c>
      <c r="C578" s="1" t="s">
        <v>2247</v>
      </c>
      <c r="D578" s="1" t="s">
        <v>2248</v>
      </c>
      <c r="E578" s="1" t="s">
        <v>2249</v>
      </c>
      <c r="F578" s="1"/>
      <c r="G578" s="1">
        <v>390023</v>
      </c>
      <c r="H578" s="1">
        <v>37.5</v>
      </c>
    </row>
    <row r="579" spans="1:8" ht="21.75" customHeight="1">
      <c r="A579" s="1" t="str">
        <f>"1208160065739467"</f>
        <v>1208160065739467</v>
      </c>
      <c r="B579" s="1" t="s">
        <v>2251</v>
      </c>
      <c r="C579" s="1" t="s">
        <v>2252</v>
      </c>
      <c r="D579" s="1" t="s">
        <v>2253</v>
      </c>
      <c r="E579" s="1"/>
      <c r="F579" s="1" t="s">
        <v>2250</v>
      </c>
      <c r="G579" s="1">
        <v>392001</v>
      </c>
      <c r="H579" s="1">
        <v>375</v>
      </c>
    </row>
    <row r="580" spans="1:8" ht="21.75" customHeight="1">
      <c r="A580" s="1" t="str">
        <f>"1204920002482164"</f>
        <v>1204920002482164</v>
      </c>
      <c r="B580" s="1" t="s">
        <v>2254</v>
      </c>
      <c r="C580" s="1" t="s">
        <v>2255</v>
      </c>
      <c r="D580" s="1" t="s">
        <v>2256</v>
      </c>
      <c r="E580" s="1" t="s">
        <v>2257</v>
      </c>
      <c r="F580" s="1" t="s">
        <v>2250</v>
      </c>
      <c r="G580" s="1">
        <v>393001</v>
      </c>
      <c r="H580" s="1">
        <v>0.75</v>
      </c>
    </row>
    <row r="581" spans="1:8" ht="21.75" customHeight="1">
      <c r="A581" s="1" t="str">
        <f>"1203280000377871"</f>
        <v>1203280000377871</v>
      </c>
      <c r="B581" s="1" t="s">
        <v>2259</v>
      </c>
      <c r="C581" s="1" t="s">
        <v>2260</v>
      </c>
      <c r="D581" s="1" t="s">
        <v>2261</v>
      </c>
      <c r="E581" s="1" t="s">
        <v>2262</v>
      </c>
      <c r="F581" s="1" t="s">
        <v>2263</v>
      </c>
      <c r="G581" s="1">
        <v>393002</v>
      </c>
      <c r="H581" s="1">
        <v>28.5</v>
      </c>
    </row>
    <row r="582" spans="1:8" ht="21.75" customHeight="1">
      <c r="A582" s="1" t="str">
        <f>"1203320007247761"</f>
        <v>1203320007247761</v>
      </c>
      <c r="B582" s="1" t="s">
        <v>2265</v>
      </c>
      <c r="C582" s="1" t="s">
        <v>2266</v>
      </c>
      <c r="D582" s="1" t="s">
        <v>2267</v>
      </c>
      <c r="E582" s="1" t="s">
        <v>2268</v>
      </c>
      <c r="F582" s="1" t="s">
        <v>778</v>
      </c>
      <c r="G582" s="1">
        <v>394101</v>
      </c>
      <c r="H582" s="1">
        <v>75</v>
      </c>
    </row>
    <row r="583" spans="1:8" ht="21.75" customHeight="1">
      <c r="A583" s="1" t="str">
        <f>"1203320009402714"</f>
        <v>1203320009402714</v>
      </c>
      <c r="B583" s="1" t="s">
        <v>2269</v>
      </c>
      <c r="C583" s="1" t="s">
        <v>2270</v>
      </c>
      <c r="D583" s="1" t="s">
        <v>2271</v>
      </c>
      <c r="E583" s="1"/>
      <c r="F583" s="1" t="s">
        <v>778</v>
      </c>
      <c r="G583" s="1">
        <v>394101</v>
      </c>
      <c r="H583" s="1">
        <v>375</v>
      </c>
    </row>
    <row r="584" spans="1:8" ht="21.75" customHeight="1">
      <c r="A584" s="1" t="str">
        <f>"1204150000354184"</f>
        <v>1204150000354184</v>
      </c>
      <c r="B584" s="1" t="s">
        <v>2272</v>
      </c>
      <c r="C584" s="1" t="s">
        <v>2273</v>
      </c>
      <c r="D584" s="1" t="s">
        <v>2274</v>
      </c>
      <c r="E584" s="1" t="s">
        <v>2275</v>
      </c>
      <c r="F584" s="1" t="s">
        <v>778</v>
      </c>
      <c r="G584" s="1">
        <v>394107</v>
      </c>
      <c r="H584" s="1">
        <v>15</v>
      </c>
    </row>
    <row r="585" spans="1:8" ht="21.75" customHeight="1">
      <c r="A585" s="1" t="str">
        <f>"IN30021440953185"</f>
        <v>IN30021440953185</v>
      </c>
      <c r="B585" s="1" t="s">
        <v>2276</v>
      </c>
      <c r="C585" s="1" t="s">
        <v>2277</v>
      </c>
      <c r="D585" s="1" t="s">
        <v>2278</v>
      </c>
      <c r="E585" s="1" t="s">
        <v>2279</v>
      </c>
      <c r="F585" s="1"/>
      <c r="G585" s="1">
        <v>394210</v>
      </c>
      <c r="H585" s="1">
        <v>75</v>
      </c>
    </row>
    <row r="586" spans="1:8" ht="21.75" customHeight="1">
      <c r="A586" s="1" t="str">
        <f>"1201090023129630"</f>
        <v>1201090023129630</v>
      </c>
      <c r="B586" s="1" t="s">
        <v>2280</v>
      </c>
      <c r="C586" s="1" t="s">
        <v>2281</v>
      </c>
      <c r="D586" s="1" t="s">
        <v>2282</v>
      </c>
      <c r="E586" s="1" t="s">
        <v>2283</v>
      </c>
      <c r="F586" s="1" t="s">
        <v>778</v>
      </c>
      <c r="G586" s="1">
        <v>394601</v>
      </c>
      <c r="H586" s="1">
        <v>112.5</v>
      </c>
    </row>
    <row r="587" spans="1:8" ht="21.75" customHeight="1">
      <c r="A587" s="1" t="str">
        <f>"IN30021415505319"</f>
        <v>IN30021415505319</v>
      </c>
      <c r="B587" s="1" t="s">
        <v>2284</v>
      </c>
      <c r="C587" s="1" t="s">
        <v>2285</v>
      </c>
      <c r="D587" s="1" t="s">
        <v>2286</v>
      </c>
      <c r="E587" s="1" t="s">
        <v>2287</v>
      </c>
      <c r="F587" s="1"/>
      <c r="G587" s="1">
        <v>395001</v>
      </c>
      <c r="H587" s="1">
        <v>67.5</v>
      </c>
    </row>
    <row r="588" spans="1:8" ht="21.75" customHeight="1">
      <c r="A588" s="1" t="str">
        <f>"1204150000384006"</f>
        <v>1204150000384006</v>
      </c>
      <c r="B588" s="1" t="s">
        <v>2288</v>
      </c>
      <c r="C588" s="1" t="s">
        <v>2289</v>
      </c>
      <c r="D588" s="1" t="s">
        <v>2290</v>
      </c>
      <c r="E588" s="1" t="s">
        <v>2291</v>
      </c>
      <c r="F588" s="1" t="s">
        <v>778</v>
      </c>
      <c r="G588" s="1">
        <v>395001</v>
      </c>
      <c r="H588" s="1">
        <v>75</v>
      </c>
    </row>
    <row r="589" spans="1:8" ht="21.75" customHeight="1">
      <c r="A589" s="1" t="str">
        <f>"1207020000297498"</f>
        <v>1207020000297498</v>
      </c>
      <c r="B589" s="1" t="s">
        <v>2082</v>
      </c>
      <c r="C589" s="1" t="s">
        <v>2292</v>
      </c>
      <c r="D589" s="1" t="s">
        <v>2293</v>
      </c>
      <c r="E589" s="1" t="s">
        <v>2294</v>
      </c>
      <c r="F589" s="1" t="s">
        <v>778</v>
      </c>
      <c r="G589" s="1">
        <v>395002</v>
      </c>
      <c r="H589" s="1">
        <v>187.5</v>
      </c>
    </row>
    <row r="590" spans="1:8" ht="21.75" customHeight="1">
      <c r="A590" s="1" t="str">
        <f>"IN30177418095568"</f>
        <v>IN30177418095568</v>
      </c>
      <c r="B590" s="1" t="s">
        <v>2295</v>
      </c>
      <c r="C590" s="1" t="s">
        <v>2296</v>
      </c>
      <c r="D590" s="1" t="s">
        <v>2297</v>
      </c>
      <c r="E590" s="1" t="s">
        <v>2298</v>
      </c>
      <c r="F590" s="1"/>
      <c r="G590" s="1">
        <v>395003</v>
      </c>
      <c r="H590" s="1">
        <v>52.5</v>
      </c>
    </row>
    <row r="591" spans="1:8" ht="21.75" customHeight="1">
      <c r="A591" s="1" t="str">
        <f>"IN30429514618398"</f>
        <v>IN30429514618398</v>
      </c>
      <c r="B591" s="1" t="s">
        <v>2299</v>
      </c>
      <c r="C591" s="1" t="s">
        <v>2300</v>
      </c>
      <c r="D591" s="1" t="s">
        <v>2301</v>
      </c>
      <c r="E591" s="1" t="s">
        <v>778</v>
      </c>
      <c r="F591" s="1"/>
      <c r="G591" s="1">
        <v>395005</v>
      </c>
      <c r="H591" s="1">
        <v>6.75</v>
      </c>
    </row>
    <row r="592" spans="1:8" ht="21.75" customHeight="1">
      <c r="A592" s="1" t="str">
        <f>"1203320019217320"</f>
        <v>1203320019217320</v>
      </c>
      <c r="B592" s="1" t="s">
        <v>2302</v>
      </c>
      <c r="C592" s="1" t="s">
        <v>2303</v>
      </c>
      <c r="D592" s="1" t="s">
        <v>2304</v>
      </c>
      <c r="E592" s="1" t="s">
        <v>2305</v>
      </c>
      <c r="F592" s="1" t="s">
        <v>778</v>
      </c>
      <c r="G592" s="1">
        <v>395005</v>
      </c>
      <c r="H592" s="1">
        <v>30</v>
      </c>
    </row>
    <row r="593" spans="1:8" ht="21.75" customHeight="1">
      <c r="A593" s="1" t="str">
        <f>"IN30051386240108"</f>
        <v>IN30051386240108</v>
      </c>
      <c r="B593" s="1" t="s">
        <v>2306</v>
      </c>
      <c r="C593" s="1" t="s">
        <v>2307</v>
      </c>
      <c r="D593" s="1" t="s">
        <v>2308</v>
      </c>
      <c r="E593" s="1" t="s">
        <v>2309</v>
      </c>
      <c r="F593" s="1"/>
      <c r="G593" s="1">
        <v>395006</v>
      </c>
      <c r="H593" s="1">
        <v>11.25</v>
      </c>
    </row>
    <row r="594" spans="1:8" ht="21.75" customHeight="1">
      <c r="A594" s="1" t="str">
        <f>"1204310000156904"</f>
        <v>1204310000156904</v>
      </c>
      <c r="B594" s="1" t="s">
        <v>2310</v>
      </c>
      <c r="C594" s="1" t="s">
        <v>2311</v>
      </c>
      <c r="D594" s="1" t="s">
        <v>2312</v>
      </c>
      <c r="E594" s="1" t="s">
        <v>2313</v>
      </c>
      <c r="F594" s="1" t="s">
        <v>778</v>
      </c>
      <c r="G594" s="1">
        <v>395006</v>
      </c>
      <c r="H594" s="1">
        <v>37.5</v>
      </c>
    </row>
    <row r="595" spans="1:8" ht="21.75" customHeight="1">
      <c r="A595" s="1" t="str">
        <f>"1204150001116061"</f>
        <v>1204150001116061</v>
      </c>
      <c r="B595" s="1" t="s">
        <v>2314</v>
      </c>
      <c r="C595" s="1" t="s">
        <v>2315</v>
      </c>
      <c r="D595" s="1" t="s">
        <v>2316</v>
      </c>
      <c r="E595" s="1" t="s">
        <v>778</v>
      </c>
      <c r="F595" s="1" t="s">
        <v>778</v>
      </c>
      <c r="G595" s="1">
        <v>395006</v>
      </c>
      <c r="H595" s="1">
        <v>30</v>
      </c>
    </row>
    <row r="596" spans="1:8" ht="21.75" customHeight="1">
      <c r="A596" s="1" t="str">
        <f>"1203230007122626"</f>
        <v>1203230007122626</v>
      </c>
      <c r="B596" s="1" t="s">
        <v>2317</v>
      </c>
      <c r="C596" s="1" t="s">
        <v>2318</v>
      </c>
      <c r="D596" s="1" t="s">
        <v>2319</v>
      </c>
      <c r="E596" s="1" t="s">
        <v>2320</v>
      </c>
      <c r="F596" s="1" t="s">
        <v>778</v>
      </c>
      <c r="G596" s="1">
        <v>395006</v>
      </c>
      <c r="H596" s="1">
        <v>4.25</v>
      </c>
    </row>
    <row r="597" spans="1:8" ht="21.75" customHeight="1">
      <c r="A597" s="1" t="str">
        <f>"1201090006157342"</f>
        <v>1201090006157342</v>
      </c>
      <c r="B597" s="1" t="s">
        <v>2321</v>
      </c>
      <c r="C597" s="1" t="s">
        <v>2322</v>
      </c>
      <c r="D597" s="1" t="s">
        <v>2323</v>
      </c>
      <c r="E597" s="1" t="s">
        <v>2324</v>
      </c>
      <c r="F597" s="1" t="s">
        <v>778</v>
      </c>
      <c r="G597" s="1">
        <v>395006</v>
      </c>
      <c r="H597" s="1">
        <v>7.5</v>
      </c>
    </row>
    <row r="598" spans="1:8" ht="21.75" customHeight="1">
      <c r="A598" s="1" t="str">
        <f>"1204150000924676"</f>
        <v>1204150000924676</v>
      </c>
      <c r="B598" s="1" t="s">
        <v>2325</v>
      </c>
      <c r="C598" s="1" t="s">
        <v>2326</v>
      </c>
      <c r="D598" s="1" t="s">
        <v>2327</v>
      </c>
      <c r="E598" s="1" t="s">
        <v>783</v>
      </c>
      <c r="F598" s="1" t="s">
        <v>778</v>
      </c>
      <c r="G598" s="1">
        <v>395007</v>
      </c>
      <c r="H598" s="1">
        <v>100.5</v>
      </c>
    </row>
    <row r="599" spans="1:8" ht="21.75" customHeight="1">
      <c r="A599" s="1" t="str">
        <f>"IN30429516533761"</f>
        <v>IN30429516533761</v>
      </c>
      <c r="B599" s="1" t="s">
        <v>2328</v>
      </c>
      <c r="C599" s="1" t="s">
        <v>2329</v>
      </c>
      <c r="D599" s="1" t="s">
        <v>2330</v>
      </c>
      <c r="E599" s="1" t="s">
        <v>2331</v>
      </c>
      <c r="F599" s="1"/>
      <c r="G599" s="1">
        <v>395009</v>
      </c>
      <c r="H599" s="1">
        <v>59</v>
      </c>
    </row>
    <row r="600" spans="1:8" ht="21.75" customHeight="1">
      <c r="A600" s="1" t="str">
        <f>"1204310000196648"</f>
        <v>1204310000196648</v>
      </c>
      <c r="B600" s="1" t="s">
        <v>2332</v>
      </c>
      <c r="C600" s="1" t="s">
        <v>2333</v>
      </c>
      <c r="D600" s="1" t="s">
        <v>2334</v>
      </c>
      <c r="E600" s="1" t="s">
        <v>2335</v>
      </c>
      <c r="F600" s="1" t="s">
        <v>778</v>
      </c>
      <c r="G600" s="1">
        <v>395009</v>
      </c>
      <c r="H600" s="1">
        <v>10.25</v>
      </c>
    </row>
    <row r="601" spans="1:8" ht="21.75" customHeight="1">
      <c r="A601" s="1" t="str">
        <f>"1203320020044063"</f>
        <v>1203320020044063</v>
      </c>
      <c r="B601" s="1" t="s">
        <v>2336</v>
      </c>
      <c r="C601" s="1" t="s">
        <v>2337</v>
      </c>
      <c r="D601" s="1" t="s">
        <v>2338</v>
      </c>
      <c r="E601" s="1" t="s">
        <v>2339</v>
      </c>
      <c r="F601" s="1" t="s">
        <v>778</v>
      </c>
      <c r="G601" s="1">
        <v>395009</v>
      </c>
      <c r="H601" s="1">
        <v>375</v>
      </c>
    </row>
    <row r="602" spans="1:8" ht="21.75" customHeight="1">
      <c r="A602" s="1" t="str">
        <f>"IN30429525997314"</f>
        <v>IN30429525997314</v>
      </c>
      <c r="B602" s="1" t="s">
        <v>2340</v>
      </c>
      <c r="C602" s="1" t="s">
        <v>2341</v>
      </c>
      <c r="D602" s="1" t="s">
        <v>2342</v>
      </c>
      <c r="E602" s="1" t="s">
        <v>2343</v>
      </c>
      <c r="F602" s="1"/>
      <c r="G602" s="1">
        <v>396191</v>
      </c>
      <c r="H602" s="1">
        <v>7.5</v>
      </c>
    </row>
    <row r="603" spans="1:8" ht="21.75" customHeight="1">
      <c r="A603" s="1" t="str">
        <f>"1203320013717191"</f>
        <v>1203320013717191</v>
      </c>
      <c r="B603" s="1" t="s">
        <v>2345</v>
      </c>
      <c r="C603" s="1" t="s">
        <v>2346</v>
      </c>
      <c r="D603" s="1" t="s">
        <v>2347</v>
      </c>
      <c r="E603" s="1" t="s">
        <v>2348</v>
      </c>
      <c r="F603" s="1" t="s">
        <v>2344</v>
      </c>
      <c r="G603" s="1">
        <v>396210</v>
      </c>
      <c r="H603" s="1">
        <v>52.5</v>
      </c>
    </row>
    <row r="604" spans="1:8" ht="21.75" customHeight="1">
      <c r="A604" s="1" t="str">
        <f>"1201090000341314"</f>
        <v>1201090000341314</v>
      </c>
      <c r="B604" s="1" t="s">
        <v>2349</v>
      </c>
      <c r="C604" s="1" t="s">
        <v>2350</v>
      </c>
      <c r="D604" s="1" t="s">
        <v>2351</v>
      </c>
      <c r="E604" s="1" t="s">
        <v>2352</v>
      </c>
      <c r="F604" s="1" t="s">
        <v>2352</v>
      </c>
      <c r="G604" s="1">
        <v>396310</v>
      </c>
      <c r="H604" s="1">
        <v>37.5</v>
      </c>
    </row>
    <row r="605" spans="1:8" ht="21.75" customHeight="1">
      <c r="A605" s="1" t="str">
        <f>"1206420009509282"</f>
        <v>1206420009509282</v>
      </c>
      <c r="B605" s="1" t="s">
        <v>2354</v>
      </c>
      <c r="C605" s="1" t="s">
        <v>2355</v>
      </c>
      <c r="D605" s="1"/>
      <c r="E605" s="1"/>
      <c r="F605" s="1" t="s">
        <v>2353</v>
      </c>
      <c r="G605" s="1">
        <v>396445</v>
      </c>
      <c r="H605" s="1">
        <v>6</v>
      </c>
    </row>
    <row r="606" spans="1:8" ht="21.75" customHeight="1">
      <c r="A606" s="1" t="str">
        <f>"1208180017656139"</f>
        <v>1208180017656139</v>
      </c>
      <c r="B606" s="1" t="s">
        <v>2356</v>
      </c>
      <c r="C606" s="1" t="s">
        <v>2357</v>
      </c>
      <c r="D606" s="1" t="s">
        <v>2358</v>
      </c>
      <c r="E606" s="1"/>
      <c r="F606" s="1" t="s">
        <v>178</v>
      </c>
      <c r="G606" s="1">
        <v>400004</v>
      </c>
      <c r="H606" s="1">
        <v>39</v>
      </c>
    </row>
    <row r="607" spans="1:8" ht="21.75" customHeight="1">
      <c r="A607" s="1" t="str">
        <f>"1208870001915161"</f>
        <v>1208870001915161</v>
      </c>
      <c r="B607" s="1" t="s">
        <v>2359</v>
      </c>
      <c r="C607" s="1" t="s">
        <v>2360</v>
      </c>
      <c r="D607" s="1" t="s">
        <v>2361</v>
      </c>
      <c r="E607" s="1" t="s">
        <v>2362</v>
      </c>
      <c r="F607" s="1" t="s">
        <v>178</v>
      </c>
      <c r="G607" s="1">
        <v>400005</v>
      </c>
      <c r="H607" s="1">
        <v>0.75</v>
      </c>
    </row>
    <row r="608" spans="1:8" ht="21.75" customHeight="1">
      <c r="A608" s="1" t="str">
        <f>"1204470006539041"</f>
        <v>1204470006539041</v>
      </c>
      <c r="B608" s="1" t="s">
        <v>2363</v>
      </c>
      <c r="C608" s="1" t="s">
        <v>2364</v>
      </c>
      <c r="D608" s="1" t="s">
        <v>2365</v>
      </c>
      <c r="E608" s="1" t="s">
        <v>2366</v>
      </c>
      <c r="F608" s="1" t="s">
        <v>178</v>
      </c>
      <c r="G608" s="1">
        <v>400008</v>
      </c>
      <c r="H608" s="1">
        <v>19.5</v>
      </c>
    </row>
    <row r="609" spans="1:8" ht="21.75" customHeight="1">
      <c r="A609" s="1" t="str">
        <f>"1208250010482122"</f>
        <v>1208250010482122</v>
      </c>
      <c r="B609" s="1" t="s">
        <v>2367</v>
      </c>
      <c r="C609" s="1" t="s">
        <v>2368</v>
      </c>
      <c r="D609" s="1" t="s">
        <v>2369</v>
      </c>
      <c r="E609" s="1" t="s">
        <v>2370</v>
      </c>
      <c r="F609" s="1" t="s">
        <v>178</v>
      </c>
      <c r="G609" s="1">
        <v>400008</v>
      </c>
      <c r="H609" s="1">
        <v>4.5</v>
      </c>
    </row>
    <row r="610" spans="1:8" ht="21.75" customHeight="1">
      <c r="A610" s="1" t="str">
        <f>"1203330000499676"</f>
        <v>1203330000499676</v>
      </c>
      <c r="B610" s="1" t="s">
        <v>2371</v>
      </c>
      <c r="C610" s="1" t="s">
        <v>2372</v>
      </c>
      <c r="D610" s="1" t="s">
        <v>2373</v>
      </c>
      <c r="E610" s="1" t="s">
        <v>2374</v>
      </c>
      <c r="F610" s="1" t="s">
        <v>178</v>
      </c>
      <c r="G610" s="1">
        <v>400009</v>
      </c>
      <c r="H610" s="1">
        <v>20.5</v>
      </c>
    </row>
    <row r="611" spans="1:8" ht="21.75" customHeight="1">
      <c r="A611" s="1" t="str">
        <f>"1202890000879053"</f>
        <v>1202890000879053</v>
      </c>
      <c r="B611" s="1" t="s">
        <v>2375</v>
      </c>
      <c r="C611" s="1" t="s">
        <v>2376</v>
      </c>
      <c r="D611" s="1" t="s">
        <v>2377</v>
      </c>
      <c r="E611" s="1" t="s">
        <v>2378</v>
      </c>
      <c r="F611" s="1" t="s">
        <v>178</v>
      </c>
      <c r="G611" s="1">
        <v>400011</v>
      </c>
      <c r="H611" s="1">
        <v>75</v>
      </c>
    </row>
    <row r="612" spans="1:8" ht="21.75" customHeight="1">
      <c r="A612" s="1" t="str">
        <f>"1208870008601156"</f>
        <v>1208870008601156</v>
      </c>
      <c r="B612" s="1" t="s">
        <v>2379</v>
      </c>
      <c r="C612" s="1" t="s">
        <v>2380</v>
      </c>
      <c r="D612" s="1" t="s">
        <v>2381</v>
      </c>
      <c r="E612" s="1" t="s">
        <v>2382</v>
      </c>
      <c r="F612" s="1" t="s">
        <v>178</v>
      </c>
      <c r="G612" s="1">
        <v>400013</v>
      </c>
      <c r="H612" s="1">
        <v>75</v>
      </c>
    </row>
    <row r="613" spans="1:8" ht="21.75" customHeight="1">
      <c r="A613" s="1" t="str">
        <f>"1208870011034871"</f>
        <v>1208870011034871</v>
      </c>
      <c r="B613" s="1" t="s">
        <v>2383</v>
      </c>
      <c r="C613" s="1" t="s">
        <v>2384</v>
      </c>
      <c r="D613" s="1" t="s">
        <v>2385</v>
      </c>
      <c r="E613" s="1" t="s">
        <v>2386</v>
      </c>
      <c r="F613" s="1" t="s">
        <v>178</v>
      </c>
      <c r="G613" s="1">
        <v>400013</v>
      </c>
      <c r="H613" s="1">
        <v>0.75</v>
      </c>
    </row>
    <row r="614" spans="1:8" ht="21.75" customHeight="1">
      <c r="A614" s="1" t="str">
        <f>"IN30311611339545"</f>
        <v>IN30311611339545</v>
      </c>
      <c r="B614" s="1" t="s">
        <v>2387</v>
      </c>
      <c r="C614" s="1" t="s">
        <v>2388</v>
      </c>
      <c r="D614" s="1" t="s">
        <v>2389</v>
      </c>
      <c r="E614" s="1" t="s">
        <v>2390</v>
      </c>
      <c r="F614" s="1"/>
      <c r="G614" s="1">
        <v>400015</v>
      </c>
      <c r="H614" s="1">
        <v>675</v>
      </c>
    </row>
    <row r="615" spans="1:8" ht="21.75" customHeight="1">
      <c r="A615" s="1" t="str">
        <f>"IN30051321504210"</f>
        <v>IN30051321504210</v>
      </c>
      <c r="B615" s="1" t="s">
        <v>2392</v>
      </c>
      <c r="C615" s="1" t="s">
        <v>2393</v>
      </c>
      <c r="D615" s="1" t="s">
        <v>2394</v>
      </c>
      <c r="E615" s="1" t="s">
        <v>2395</v>
      </c>
      <c r="F615" s="1"/>
      <c r="G615" s="1">
        <v>400021</v>
      </c>
      <c r="H615" s="1">
        <v>187.5</v>
      </c>
    </row>
    <row r="616" spans="1:8" ht="21.75" customHeight="1">
      <c r="A616" s="1" t="str">
        <f>"IN30135610008033"</f>
        <v>IN30135610008033</v>
      </c>
      <c r="B616" s="1" t="s">
        <v>2396</v>
      </c>
      <c r="C616" s="1" t="s">
        <v>2397</v>
      </c>
      <c r="D616" s="1" t="s">
        <v>2398</v>
      </c>
      <c r="E616" s="1" t="s">
        <v>2399</v>
      </c>
      <c r="F616" s="1"/>
      <c r="G616" s="1">
        <v>400023</v>
      </c>
      <c r="H616" s="1">
        <v>15</v>
      </c>
    </row>
    <row r="617" spans="1:8" ht="21.75" customHeight="1">
      <c r="A617" s="1" t="str">
        <f>"1201090008275680"</f>
        <v>1201090008275680</v>
      </c>
      <c r="B617" s="1" t="s">
        <v>2400</v>
      </c>
      <c r="C617" s="1" t="s">
        <v>2401</v>
      </c>
      <c r="D617" s="1" t="s">
        <v>2402</v>
      </c>
      <c r="E617" s="1" t="s">
        <v>2403</v>
      </c>
      <c r="F617" s="1" t="s">
        <v>178</v>
      </c>
      <c r="G617" s="1">
        <v>400027</v>
      </c>
      <c r="H617" s="1">
        <v>0.75</v>
      </c>
    </row>
    <row r="618" spans="1:8" ht="21.75" customHeight="1">
      <c r="A618" s="1" t="str">
        <f>"1208180021863978"</f>
        <v>1208180021863978</v>
      </c>
      <c r="B618" s="1" t="s">
        <v>2404</v>
      </c>
      <c r="C618" s="1" t="s">
        <v>2405</v>
      </c>
      <c r="D618" s="1" t="s">
        <v>2406</v>
      </c>
      <c r="E618" s="1"/>
      <c r="F618" s="1" t="s">
        <v>178</v>
      </c>
      <c r="G618" s="1">
        <v>400028</v>
      </c>
      <c r="H618" s="1">
        <v>0.75</v>
      </c>
    </row>
    <row r="619" spans="1:8" ht="21.75" customHeight="1">
      <c r="A619" s="1" t="str">
        <f>"1206690001159272"</f>
        <v>1206690001159272</v>
      </c>
      <c r="B619" s="1" t="s">
        <v>2407</v>
      </c>
      <c r="C619" s="1" t="s">
        <v>2408</v>
      </c>
      <c r="D619" s="1" t="s">
        <v>2409</v>
      </c>
      <c r="E619" s="1" t="s">
        <v>2410</v>
      </c>
      <c r="F619" s="1" t="s">
        <v>178</v>
      </c>
      <c r="G619" s="1">
        <v>400033</v>
      </c>
      <c r="H619" s="1">
        <v>0.75</v>
      </c>
    </row>
    <row r="620" spans="1:8" ht="21.75" customHeight="1">
      <c r="A620" s="1" t="str">
        <f>"1208160033859082"</f>
        <v>1208160033859082</v>
      </c>
      <c r="B620" s="1" t="s">
        <v>2411</v>
      </c>
      <c r="C620" s="1" t="s">
        <v>2412</v>
      </c>
      <c r="D620" s="1"/>
      <c r="E620" s="1"/>
      <c r="F620" s="1" t="s">
        <v>178</v>
      </c>
      <c r="G620" s="1">
        <v>400043</v>
      </c>
      <c r="H620" s="1">
        <v>75</v>
      </c>
    </row>
    <row r="621" spans="1:8" ht="21.75" customHeight="1">
      <c r="A621" s="1" t="str">
        <f>"1201060001874581"</f>
        <v>1201060001874581</v>
      </c>
      <c r="B621" s="1" t="s">
        <v>2413</v>
      </c>
      <c r="C621" s="4">
        <v>0.2916666666666667</v>
      </c>
      <c r="D621" s="1" t="s">
        <v>2414</v>
      </c>
      <c r="E621" s="1" t="s">
        <v>2415</v>
      </c>
      <c r="F621" s="1" t="s">
        <v>178</v>
      </c>
      <c r="G621" s="1">
        <v>400047</v>
      </c>
      <c r="H621" s="1">
        <v>150</v>
      </c>
    </row>
    <row r="622" spans="1:8" ht="21.75" customHeight="1">
      <c r="A622" s="1" t="str">
        <f>"1208160077840836"</f>
        <v>1208160077840836</v>
      </c>
      <c r="B622" s="1" t="s">
        <v>2416</v>
      </c>
      <c r="C622" s="1" t="s">
        <v>2417</v>
      </c>
      <c r="D622" s="1"/>
      <c r="E622" s="1"/>
      <c r="F622" s="1" t="s">
        <v>2418</v>
      </c>
      <c r="G622" s="1">
        <v>400049</v>
      </c>
      <c r="H622" s="1">
        <v>36.75</v>
      </c>
    </row>
    <row r="623" spans="1:8" ht="21.75" customHeight="1">
      <c r="A623" s="1" t="str">
        <f>"1208880002328412"</f>
        <v>1208880002328412</v>
      </c>
      <c r="B623" s="1" t="s">
        <v>2419</v>
      </c>
      <c r="C623" s="1" t="s">
        <v>2420</v>
      </c>
      <c r="D623" s="1" t="s">
        <v>2421</v>
      </c>
      <c r="E623" s="1"/>
      <c r="F623" s="1" t="s">
        <v>178</v>
      </c>
      <c r="G623" s="1">
        <v>400053</v>
      </c>
      <c r="H623" s="1">
        <v>0.75</v>
      </c>
    </row>
    <row r="624" spans="1:8" ht="21.75" customHeight="1">
      <c r="A624" s="1" t="str">
        <f>"IN30429522418717"</f>
        <v>IN30429522418717</v>
      </c>
      <c r="B624" s="1" t="s">
        <v>2422</v>
      </c>
      <c r="C624" s="1" t="s">
        <v>2423</v>
      </c>
      <c r="D624" s="1" t="s">
        <v>2424</v>
      </c>
      <c r="E624" s="1" t="s">
        <v>2425</v>
      </c>
      <c r="F624" s="1"/>
      <c r="G624" s="1">
        <v>400053</v>
      </c>
      <c r="H624" s="1">
        <v>2.25</v>
      </c>
    </row>
    <row r="625" spans="1:8" ht="21.75" customHeight="1">
      <c r="A625" s="1" t="str">
        <f>"1208250009211671"</f>
        <v>1208250009211671</v>
      </c>
      <c r="B625" s="1" t="s">
        <v>2426</v>
      </c>
      <c r="C625" s="1" t="s">
        <v>2427</v>
      </c>
      <c r="D625" s="1" t="s">
        <v>2428</v>
      </c>
      <c r="E625" s="1" t="s">
        <v>2429</v>
      </c>
      <c r="F625" s="1" t="s">
        <v>178</v>
      </c>
      <c r="G625" s="1">
        <v>400054</v>
      </c>
      <c r="H625" s="1">
        <v>15</v>
      </c>
    </row>
    <row r="626" spans="1:8" ht="21.75" customHeight="1">
      <c r="A626" s="1" t="str">
        <f>"IN30021411158034"</f>
        <v>IN30021411158034</v>
      </c>
      <c r="B626" s="1" t="s">
        <v>2430</v>
      </c>
      <c r="C626" s="1" t="s">
        <v>2431</v>
      </c>
      <c r="D626" s="1" t="s">
        <v>2415</v>
      </c>
      <c r="E626" s="1" t="s">
        <v>178</v>
      </c>
      <c r="F626" s="1"/>
      <c r="G626" s="1">
        <v>400054</v>
      </c>
      <c r="H626" s="1">
        <v>75</v>
      </c>
    </row>
    <row r="627" spans="1:8" ht="21.75" customHeight="1">
      <c r="A627" s="1" t="str">
        <f>"1203320010468934"</f>
        <v>1203320010468934</v>
      </c>
      <c r="B627" s="1" t="s">
        <v>2432</v>
      </c>
      <c r="C627" s="1" t="s">
        <v>2433</v>
      </c>
      <c r="D627" s="1" t="s">
        <v>2434</v>
      </c>
      <c r="E627" s="1"/>
      <c r="F627" s="1" t="s">
        <v>178</v>
      </c>
      <c r="G627" s="1">
        <v>400055</v>
      </c>
      <c r="H627" s="1">
        <v>51</v>
      </c>
    </row>
    <row r="628" spans="1:8" ht="21.75" customHeight="1">
      <c r="A628" s="1" t="str">
        <f>"1203230000175174"</f>
        <v>1203230000175174</v>
      </c>
      <c r="B628" s="1" t="s">
        <v>2435</v>
      </c>
      <c r="C628" s="1" t="s">
        <v>2436</v>
      </c>
      <c r="D628" s="1" t="s">
        <v>2437</v>
      </c>
      <c r="E628" s="1" t="s">
        <v>2438</v>
      </c>
      <c r="F628" s="1" t="s">
        <v>178</v>
      </c>
      <c r="G628" s="1">
        <v>400055</v>
      </c>
      <c r="H628" s="1">
        <v>23.25</v>
      </c>
    </row>
    <row r="629" spans="1:8" ht="21.75" customHeight="1">
      <c r="A629" s="1" t="str">
        <f>"IN30429514766457"</f>
        <v>IN30429514766457</v>
      </c>
      <c r="B629" s="1" t="s">
        <v>2439</v>
      </c>
      <c r="C629" s="1" t="s">
        <v>2440</v>
      </c>
      <c r="D629" s="1" t="s">
        <v>2441</v>
      </c>
      <c r="E629" s="1" t="s">
        <v>2442</v>
      </c>
      <c r="F629" s="1"/>
      <c r="G629" s="1">
        <v>400055</v>
      </c>
      <c r="H629" s="1">
        <v>0.75</v>
      </c>
    </row>
    <row r="630" spans="1:8" ht="21.75" customHeight="1">
      <c r="A630" s="1" t="str">
        <f>"IN30302894738180"</f>
        <v>IN30302894738180</v>
      </c>
      <c r="B630" s="1" t="s">
        <v>2443</v>
      </c>
      <c r="C630" s="1" t="s">
        <v>2444</v>
      </c>
      <c r="D630" s="1" t="s">
        <v>2445</v>
      </c>
      <c r="E630" s="1" t="s">
        <v>2446</v>
      </c>
      <c r="F630" s="1"/>
      <c r="G630" s="1">
        <v>400063</v>
      </c>
      <c r="H630" s="1">
        <v>7.5</v>
      </c>
    </row>
    <row r="631" spans="1:8" ht="21.75" customHeight="1">
      <c r="A631" s="1" t="str">
        <f>"IN30089610571747"</f>
        <v>IN30089610571747</v>
      </c>
      <c r="B631" s="1" t="s">
        <v>2447</v>
      </c>
      <c r="C631" s="1" t="s">
        <v>2448</v>
      </c>
      <c r="D631" s="1" t="s">
        <v>2449</v>
      </c>
      <c r="E631" s="1" t="s">
        <v>2450</v>
      </c>
      <c r="F631" s="1"/>
      <c r="G631" s="1">
        <v>400064</v>
      </c>
      <c r="H631" s="1">
        <v>4.5</v>
      </c>
    </row>
    <row r="632" spans="1:8" ht="21.75" customHeight="1">
      <c r="A632" s="1" t="str">
        <f>"1208880002411547"</f>
        <v>1208880002411547</v>
      </c>
      <c r="B632" s="1" t="s">
        <v>2451</v>
      </c>
      <c r="C632" s="1" t="s">
        <v>2452</v>
      </c>
      <c r="D632" s="1" t="s">
        <v>2453</v>
      </c>
      <c r="E632" s="1" t="s">
        <v>2454</v>
      </c>
      <c r="F632" s="1" t="s">
        <v>178</v>
      </c>
      <c r="G632" s="1">
        <v>400065</v>
      </c>
      <c r="H632" s="1">
        <v>15</v>
      </c>
    </row>
    <row r="633" spans="1:8" ht="21.75" customHeight="1">
      <c r="A633" s="1" t="str">
        <f>"1208180034767417"</f>
        <v>1208180034767417</v>
      </c>
      <c r="B633" s="1" t="s">
        <v>2455</v>
      </c>
      <c r="C633" s="1" t="s">
        <v>2456</v>
      </c>
      <c r="D633" s="1" t="s">
        <v>2457</v>
      </c>
      <c r="E633" s="1" t="s">
        <v>2458</v>
      </c>
      <c r="F633" s="1" t="s">
        <v>178</v>
      </c>
      <c r="G633" s="1">
        <v>400066</v>
      </c>
      <c r="H633" s="1">
        <v>63</v>
      </c>
    </row>
    <row r="634" spans="1:8" ht="21.75" customHeight="1">
      <c r="A634" s="1" t="str">
        <f>"1207020000520849"</f>
        <v>1207020000520849</v>
      </c>
      <c r="B634" s="1" t="s">
        <v>2459</v>
      </c>
      <c r="C634" s="1" t="s">
        <v>2460</v>
      </c>
      <c r="D634" s="1" t="s">
        <v>2461</v>
      </c>
      <c r="E634" s="1" t="s">
        <v>202</v>
      </c>
      <c r="F634" s="1" t="s">
        <v>178</v>
      </c>
      <c r="G634" s="1">
        <v>400066</v>
      </c>
      <c r="H634" s="1">
        <v>375</v>
      </c>
    </row>
    <row r="635" spans="1:8" ht="21.75" customHeight="1">
      <c r="A635" s="1" t="str">
        <f>"1208870006522069"</f>
        <v>1208870006522069</v>
      </c>
      <c r="B635" s="1" t="s">
        <v>2462</v>
      </c>
      <c r="C635" s="1" t="s">
        <v>2463</v>
      </c>
      <c r="D635" s="1" t="s">
        <v>2464</v>
      </c>
      <c r="E635" s="1" t="s">
        <v>2465</v>
      </c>
      <c r="F635" s="1" t="s">
        <v>178</v>
      </c>
      <c r="G635" s="1">
        <v>400067</v>
      </c>
      <c r="H635" s="1">
        <v>0.75</v>
      </c>
    </row>
    <row r="636" spans="1:8" ht="21.75" customHeight="1">
      <c r="A636" s="1" t="str">
        <f>"1208180013373652"</f>
        <v>1208180013373652</v>
      </c>
      <c r="B636" s="1" t="s">
        <v>2466</v>
      </c>
      <c r="C636" s="1" t="s">
        <v>2467</v>
      </c>
      <c r="D636" s="1" t="s">
        <v>2468</v>
      </c>
      <c r="E636" s="1" t="s">
        <v>2469</v>
      </c>
      <c r="F636" s="1" t="s">
        <v>178</v>
      </c>
      <c r="G636" s="1">
        <v>400067</v>
      </c>
      <c r="H636" s="1">
        <v>9.75</v>
      </c>
    </row>
    <row r="637" spans="1:8" ht="21.75" customHeight="1">
      <c r="A637" s="1" t="str">
        <f>"1201370000312360"</f>
        <v>1201370000312360</v>
      </c>
      <c r="B637" s="1" t="s">
        <v>2470</v>
      </c>
      <c r="C637" s="1" t="s">
        <v>2471</v>
      </c>
      <c r="D637" s="1" t="s">
        <v>2472</v>
      </c>
      <c r="E637" s="1" t="s">
        <v>2473</v>
      </c>
      <c r="F637" s="1" t="s">
        <v>2474</v>
      </c>
      <c r="G637" s="1">
        <v>400068</v>
      </c>
      <c r="H637" s="1">
        <v>75</v>
      </c>
    </row>
    <row r="638" spans="1:8" ht="21.75" customHeight="1">
      <c r="A638" s="1" t="str">
        <f>"1208870070141515"</f>
        <v>1208870070141515</v>
      </c>
      <c r="B638" s="1" t="s">
        <v>2475</v>
      </c>
      <c r="C638" s="1" t="s">
        <v>2476</v>
      </c>
      <c r="D638" s="1" t="s">
        <v>2477</v>
      </c>
      <c r="E638" s="1" t="s">
        <v>2478</v>
      </c>
      <c r="F638" s="1" t="s">
        <v>178</v>
      </c>
      <c r="G638" s="1">
        <v>400071</v>
      </c>
      <c r="H638" s="1">
        <v>3.75</v>
      </c>
    </row>
    <row r="639" spans="1:8" ht="21.75" customHeight="1">
      <c r="A639" s="1" t="str">
        <f>"IN30023914298490"</f>
        <v>IN30023914298490</v>
      </c>
      <c r="B639" s="1" t="s">
        <v>2479</v>
      </c>
      <c r="C639" s="1" t="s">
        <v>2480</v>
      </c>
      <c r="D639" s="1" t="s">
        <v>2481</v>
      </c>
      <c r="E639" s="1" t="s">
        <v>2482</v>
      </c>
      <c r="F639" s="1"/>
      <c r="G639" s="1">
        <v>400072</v>
      </c>
      <c r="H639" s="1">
        <v>75</v>
      </c>
    </row>
    <row r="640" spans="1:8" ht="21.75" customHeight="1">
      <c r="A640" s="1" t="str">
        <f>"IN30327010929052"</f>
        <v>IN30327010929052</v>
      </c>
      <c r="B640" s="1" t="s">
        <v>2483</v>
      </c>
      <c r="C640" s="1" t="s">
        <v>2484</v>
      </c>
      <c r="D640" s="1" t="s">
        <v>2485</v>
      </c>
      <c r="E640" s="1" t="s">
        <v>178</v>
      </c>
      <c r="F640" s="1"/>
      <c r="G640" s="1">
        <v>400072</v>
      </c>
      <c r="H640" s="1">
        <v>450</v>
      </c>
    </row>
    <row r="641" spans="1:8" ht="21.75" customHeight="1">
      <c r="A641" s="1" t="str">
        <f>"IN30429524878930"</f>
        <v>IN30429524878930</v>
      </c>
      <c r="B641" s="1" t="s">
        <v>2486</v>
      </c>
      <c r="C641" s="1" t="s">
        <v>2487</v>
      </c>
      <c r="D641" s="1" t="s">
        <v>2488</v>
      </c>
      <c r="E641" s="1" t="s">
        <v>2489</v>
      </c>
      <c r="F641" s="1"/>
      <c r="G641" s="1">
        <v>400075</v>
      </c>
      <c r="H641" s="1">
        <v>0.75</v>
      </c>
    </row>
    <row r="642" spans="1:8" ht="21.75" customHeight="1">
      <c r="A642" s="1" t="str">
        <f>"1208160002044647"</f>
        <v>1208160002044647</v>
      </c>
      <c r="B642" s="1" t="s">
        <v>2490</v>
      </c>
      <c r="C642" s="1" t="s">
        <v>2491</v>
      </c>
      <c r="D642" s="1" t="s">
        <v>2492</v>
      </c>
      <c r="E642" s="1"/>
      <c r="F642" s="1" t="s">
        <v>178</v>
      </c>
      <c r="G642" s="1">
        <v>400076</v>
      </c>
      <c r="H642" s="1">
        <v>150</v>
      </c>
    </row>
    <row r="643" spans="1:8" ht="21.75" customHeight="1">
      <c r="A643" s="1" t="str">
        <f>"1203600002364888"</f>
        <v>1203600002364888</v>
      </c>
      <c r="B643" s="1" t="s">
        <v>2493</v>
      </c>
      <c r="C643" s="1" t="s">
        <v>2494</v>
      </c>
      <c r="D643" s="1" t="s">
        <v>2495</v>
      </c>
      <c r="E643" s="1" t="s">
        <v>2496</v>
      </c>
      <c r="F643" s="1" t="s">
        <v>178</v>
      </c>
      <c r="G643" s="1">
        <v>400080</v>
      </c>
      <c r="H643" s="1">
        <v>195</v>
      </c>
    </row>
    <row r="644" spans="1:8" ht="21.75" customHeight="1">
      <c r="A644" s="1" t="str">
        <f>"IN30160411948275"</f>
        <v>IN30160411948275</v>
      </c>
      <c r="B644" s="1" t="s">
        <v>2497</v>
      </c>
      <c r="C644" s="1" t="s">
        <v>2498</v>
      </c>
      <c r="D644" s="1" t="s">
        <v>2499</v>
      </c>
      <c r="E644" s="1" t="s">
        <v>2500</v>
      </c>
      <c r="F644" s="1"/>
      <c r="G644" s="1">
        <v>400080</v>
      </c>
      <c r="H644" s="1">
        <v>15</v>
      </c>
    </row>
    <row r="645" spans="1:8" ht="21.75" customHeight="1">
      <c r="A645" s="1" t="str">
        <f>"1203320060804615"</f>
        <v>1203320060804615</v>
      </c>
      <c r="B645" s="1" t="s">
        <v>2501</v>
      </c>
      <c r="C645" s="1" t="s">
        <v>2502</v>
      </c>
      <c r="D645" s="1" t="s">
        <v>2503</v>
      </c>
      <c r="E645" s="1" t="s">
        <v>2504</v>
      </c>
      <c r="F645" s="1" t="s">
        <v>178</v>
      </c>
      <c r="G645" s="1">
        <v>400084</v>
      </c>
      <c r="H645" s="1">
        <v>1.5</v>
      </c>
    </row>
    <row r="646" spans="1:8" ht="21.75" customHeight="1">
      <c r="A646" s="1" t="str">
        <f>"1201090015141745"</f>
        <v>1201090015141745</v>
      </c>
      <c r="B646" s="1" t="s">
        <v>2505</v>
      </c>
      <c r="C646" s="1" t="s">
        <v>2506</v>
      </c>
      <c r="D646" s="1" t="s">
        <v>2507</v>
      </c>
      <c r="E646" s="1" t="s">
        <v>2508</v>
      </c>
      <c r="F646" s="1" t="s">
        <v>178</v>
      </c>
      <c r="G646" s="1">
        <v>400086</v>
      </c>
      <c r="H646" s="1">
        <v>0.75</v>
      </c>
    </row>
    <row r="647" spans="1:8" ht="21.75" customHeight="1">
      <c r="A647" s="1" t="str">
        <f>"1203320005169773"</f>
        <v>1203320005169773</v>
      </c>
      <c r="B647" s="1" t="s">
        <v>2509</v>
      </c>
      <c r="C647" s="1" t="s">
        <v>2510</v>
      </c>
      <c r="D647" s="1" t="s">
        <v>2511</v>
      </c>
      <c r="E647" s="1" t="s">
        <v>2512</v>
      </c>
      <c r="F647" s="1" t="s">
        <v>178</v>
      </c>
      <c r="G647" s="1">
        <v>400086</v>
      </c>
      <c r="H647" s="1">
        <v>5.25</v>
      </c>
    </row>
    <row r="648" spans="1:8" ht="21.75" customHeight="1">
      <c r="A648" s="1" t="str">
        <f>"1202000000057441"</f>
        <v>1202000000057441</v>
      </c>
      <c r="B648" s="1" t="s">
        <v>2513</v>
      </c>
      <c r="C648" s="1" t="s">
        <v>2514</v>
      </c>
      <c r="D648" s="1" t="s">
        <v>2515</v>
      </c>
      <c r="E648" s="1" t="s">
        <v>2516</v>
      </c>
      <c r="F648" s="1" t="s">
        <v>178</v>
      </c>
      <c r="G648" s="1">
        <v>400088</v>
      </c>
      <c r="H648" s="1">
        <v>15</v>
      </c>
    </row>
    <row r="649" spans="1:8" ht="21.75" customHeight="1">
      <c r="A649" s="1" t="str">
        <f>"IN30267932456890"</f>
        <v>IN30267932456890</v>
      </c>
      <c r="B649" s="1" t="s">
        <v>2517</v>
      </c>
      <c r="C649" s="1" t="s">
        <v>2518</v>
      </c>
      <c r="D649" s="1" t="s">
        <v>2519</v>
      </c>
      <c r="E649" s="1" t="s">
        <v>2520</v>
      </c>
      <c r="F649" s="1"/>
      <c r="G649" s="1">
        <v>400090</v>
      </c>
      <c r="H649" s="1">
        <v>750</v>
      </c>
    </row>
    <row r="650" spans="1:8" ht="21.75" customHeight="1">
      <c r="A650" s="1" t="str">
        <f>"1203600006815967"</f>
        <v>1203600006815967</v>
      </c>
      <c r="B650" s="1" t="s">
        <v>2521</v>
      </c>
      <c r="C650" s="1" t="s">
        <v>2522</v>
      </c>
      <c r="D650" s="1" t="s">
        <v>2523</v>
      </c>
      <c r="E650" s="1"/>
      <c r="F650" s="1" t="s">
        <v>178</v>
      </c>
      <c r="G650" s="1">
        <v>400092</v>
      </c>
      <c r="H650" s="1">
        <v>375</v>
      </c>
    </row>
    <row r="651" spans="1:8" ht="21.75" customHeight="1">
      <c r="A651" s="1" t="str">
        <f>"1203230001852473"</f>
        <v>1203230001852473</v>
      </c>
      <c r="B651" s="1" t="s">
        <v>2524</v>
      </c>
      <c r="C651" s="1" t="s">
        <v>2525</v>
      </c>
      <c r="D651" s="1" t="s">
        <v>2526</v>
      </c>
      <c r="E651" s="1" t="s">
        <v>2527</v>
      </c>
      <c r="F651" s="1" t="s">
        <v>178</v>
      </c>
      <c r="G651" s="1">
        <v>400092</v>
      </c>
      <c r="H651" s="1">
        <v>33.75</v>
      </c>
    </row>
    <row r="652" spans="1:8" ht="21.75" customHeight="1">
      <c r="A652" s="1" t="str">
        <f>"1203600001256659"</f>
        <v>1203600001256659</v>
      </c>
      <c r="B652" s="1" t="s">
        <v>2528</v>
      </c>
      <c r="C652" s="1" t="s">
        <v>2529</v>
      </c>
      <c r="D652" s="1" t="s">
        <v>2530</v>
      </c>
      <c r="E652" s="1" t="s">
        <v>2531</v>
      </c>
      <c r="F652" s="1" t="s">
        <v>178</v>
      </c>
      <c r="G652" s="1">
        <v>400093</v>
      </c>
      <c r="H652" s="1">
        <v>7.5</v>
      </c>
    </row>
    <row r="653" spans="1:8" ht="21.75" customHeight="1">
      <c r="A653" s="1" t="str">
        <f>"1208870013319603"</f>
        <v>1208870013319603</v>
      </c>
      <c r="B653" s="1" t="s">
        <v>2532</v>
      </c>
      <c r="C653" s="1" t="s">
        <v>2533</v>
      </c>
      <c r="D653" s="1" t="s">
        <v>2534</v>
      </c>
      <c r="E653" s="1" t="s">
        <v>2535</v>
      </c>
      <c r="F653" s="1" t="s">
        <v>178</v>
      </c>
      <c r="G653" s="1">
        <v>400093</v>
      </c>
      <c r="H653" s="1">
        <v>8.25</v>
      </c>
    </row>
    <row r="654" spans="1:8" ht="21.75" customHeight="1">
      <c r="A654" s="1" t="str">
        <f>"IN30429522970896"</f>
        <v>IN30429522970896</v>
      </c>
      <c r="B654" s="1" t="s">
        <v>2536</v>
      </c>
      <c r="C654" s="1" t="s">
        <v>2537</v>
      </c>
      <c r="D654" s="1" t="s">
        <v>2538</v>
      </c>
      <c r="E654" s="1" t="s">
        <v>2539</v>
      </c>
      <c r="F654" s="1"/>
      <c r="G654" s="1">
        <v>400097</v>
      </c>
      <c r="H654" s="1">
        <v>75</v>
      </c>
    </row>
    <row r="655" spans="1:8" ht="21.75" customHeight="1">
      <c r="A655" s="1" t="str">
        <f>"IN30429522119273"</f>
        <v>IN30429522119273</v>
      </c>
      <c r="B655" s="1" t="s">
        <v>2540</v>
      </c>
      <c r="C655" s="1" t="s">
        <v>2541</v>
      </c>
      <c r="D655" s="1" t="s">
        <v>2542</v>
      </c>
      <c r="E655" s="1" t="s">
        <v>2543</v>
      </c>
      <c r="F655" s="1"/>
      <c r="G655" s="1">
        <v>400097</v>
      </c>
      <c r="H655" s="1">
        <v>1.5</v>
      </c>
    </row>
    <row r="656" spans="1:8" ht="21.75" customHeight="1">
      <c r="A656" s="1" t="str">
        <f>"1208180043038999"</f>
        <v>1208180043038999</v>
      </c>
      <c r="B656" s="1" t="s">
        <v>2544</v>
      </c>
      <c r="C656" s="1" t="s">
        <v>2545</v>
      </c>
      <c r="D656" s="1" t="s">
        <v>2546</v>
      </c>
      <c r="E656" s="1" t="s">
        <v>2547</v>
      </c>
      <c r="F656" s="1" t="s">
        <v>178</v>
      </c>
      <c r="G656" s="1">
        <v>400101</v>
      </c>
      <c r="H656" s="1">
        <v>75</v>
      </c>
    </row>
    <row r="657" spans="1:8" ht="21.75" customHeight="1">
      <c r="A657" s="1" t="str">
        <f>"1201090004448082"</f>
        <v>1201090004448082</v>
      </c>
      <c r="B657" s="1" t="s">
        <v>2548</v>
      </c>
      <c r="C657" s="1" t="s">
        <v>2549</v>
      </c>
      <c r="D657" s="1" t="s">
        <v>2550</v>
      </c>
      <c r="E657" s="1" t="s">
        <v>2551</v>
      </c>
      <c r="F657" s="1" t="s">
        <v>178</v>
      </c>
      <c r="G657" s="1">
        <v>400101</v>
      </c>
      <c r="H657" s="1">
        <v>18.75</v>
      </c>
    </row>
    <row r="658" spans="1:8" ht="21.75" customHeight="1">
      <c r="A658" s="1" t="str">
        <f>"1204470010199581"</f>
        <v>1204470010199581</v>
      </c>
      <c r="B658" s="1" t="s">
        <v>2552</v>
      </c>
      <c r="C658" s="1" t="s">
        <v>2553</v>
      </c>
      <c r="D658" s="1" t="s">
        <v>2554</v>
      </c>
      <c r="E658" s="1" t="s">
        <v>2555</v>
      </c>
      <c r="F658" s="1" t="s">
        <v>222</v>
      </c>
      <c r="G658" s="1">
        <v>400602</v>
      </c>
      <c r="H658" s="1">
        <v>10.5</v>
      </c>
    </row>
    <row r="659" spans="1:8" ht="21.75" customHeight="1">
      <c r="A659" s="1" t="str">
        <f>"1207020002309657"</f>
        <v>1207020002309657</v>
      </c>
      <c r="B659" s="1" t="s">
        <v>2556</v>
      </c>
      <c r="C659" s="1" t="s">
        <v>2557</v>
      </c>
      <c r="D659" s="1" t="s">
        <v>2558</v>
      </c>
      <c r="E659" s="1" t="s">
        <v>2559</v>
      </c>
      <c r="F659" s="1" t="s">
        <v>222</v>
      </c>
      <c r="G659" s="1">
        <v>400607</v>
      </c>
      <c r="H659" s="1">
        <v>300.75</v>
      </c>
    </row>
    <row r="660" spans="1:8" ht="21.75" customHeight="1">
      <c r="A660" s="1" t="str">
        <f>"IN30045015356874"</f>
        <v>IN30045015356874</v>
      </c>
      <c r="B660" s="1" t="s">
        <v>2560</v>
      </c>
      <c r="C660" s="1" t="s">
        <v>2561</v>
      </c>
      <c r="D660" s="1" t="s">
        <v>2562</v>
      </c>
      <c r="E660" s="1" t="s">
        <v>222</v>
      </c>
      <c r="F660" s="1"/>
      <c r="G660" s="1">
        <v>400612</v>
      </c>
      <c r="H660" s="1">
        <v>2.25</v>
      </c>
    </row>
    <row r="661" spans="1:8" ht="21.75" customHeight="1">
      <c r="A661" s="1" t="str">
        <f>"IN30023913777242"</f>
        <v>IN30023913777242</v>
      </c>
      <c r="B661" s="1" t="s">
        <v>2563</v>
      </c>
      <c r="C661" s="1" t="s">
        <v>2564</v>
      </c>
      <c r="D661" s="1" t="s">
        <v>2565</v>
      </c>
      <c r="E661" s="1" t="s">
        <v>2566</v>
      </c>
      <c r="F661" s="1"/>
      <c r="G661" s="1">
        <v>400614</v>
      </c>
      <c r="H661" s="1">
        <v>206.25</v>
      </c>
    </row>
    <row r="662" spans="1:8" ht="21.75" customHeight="1">
      <c r="A662" s="1" t="str">
        <f>"1208870036394050"</f>
        <v>1208870036394050</v>
      </c>
      <c r="B662" s="1" t="s">
        <v>2567</v>
      </c>
      <c r="C662" s="1" t="s">
        <v>2568</v>
      </c>
      <c r="D662" s="1" t="s">
        <v>2569</v>
      </c>
      <c r="E662" s="1" t="s">
        <v>2570</v>
      </c>
      <c r="F662" s="1" t="s">
        <v>222</v>
      </c>
      <c r="G662" s="1">
        <v>400703</v>
      </c>
      <c r="H662" s="1">
        <v>0.75</v>
      </c>
    </row>
    <row r="663" spans="1:8" ht="21.75" customHeight="1">
      <c r="A663" s="1" t="str">
        <f>"IN30429514768073"</f>
        <v>IN30429514768073</v>
      </c>
      <c r="B663" s="1" t="s">
        <v>2571</v>
      </c>
      <c r="C663" s="1" t="s">
        <v>2572</v>
      </c>
      <c r="D663" s="1" t="s">
        <v>2573</v>
      </c>
      <c r="E663" s="1" t="s">
        <v>2574</v>
      </c>
      <c r="F663" s="1"/>
      <c r="G663" s="1">
        <v>400706</v>
      </c>
      <c r="H663" s="1">
        <v>0.75</v>
      </c>
    </row>
    <row r="664" spans="1:8" ht="21.75" customHeight="1">
      <c r="A664" s="1" t="str">
        <f>"1201120000394281"</f>
        <v>1201120000394281</v>
      </c>
      <c r="B664" s="1" t="s">
        <v>2575</v>
      </c>
      <c r="C664" s="1" t="s">
        <v>2576</v>
      </c>
      <c r="D664" s="1" t="s">
        <v>2577</v>
      </c>
      <c r="E664" s="1" t="s">
        <v>2578</v>
      </c>
      <c r="F664" s="1" t="s">
        <v>222</v>
      </c>
      <c r="G664" s="1">
        <v>400706</v>
      </c>
      <c r="H664" s="1">
        <v>150</v>
      </c>
    </row>
    <row r="665" spans="1:8" ht="21.75" customHeight="1">
      <c r="A665" s="1" t="str">
        <f>"IN30160410193930"</f>
        <v>IN30160410193930</v>
      </c>
      <c r="B665" s="1" t="s">
        <v>2579</v>
      </c>
      <c r="C665" s="1" t="s">
        <v>2580</v>
      </c>
      <c r="D665" s="1" t="s">
        <v>2581</v>
      </c>
      <c r="E665" s="1" t="s">
        <v>2582</v>
      </c>
      <c r="F665" s="1"/>
      <c r="G665" s="1">
        <v>401101</v>
      </c>
      <c r="H665" s="1">
        <v>150</v>
      </c>
    </row>
    <row r="666" spans="1:8" ht="21.75" customHeight="1">
      <c r="A666" s="1" t="str">
        <f>"1208160065760227"</f>
        <v>1208160065760227</v>
      </c>
      <c r="B666" s="1" t="s">
        <v>2584</v>
      </c>
      <c r="C666" s="1" t="s">
        <v>2585</v>
      </c>
      <c r="D666" s="1" t="s">
        <v>2586</v>
      </c>
      <c r="E666" s="1"/>
      <c r="F666" s="1" t="s">
        <v>2583</v>
      </c>
      <c r="G666" s="1">
        <v>401105</v>
      </c>
      <c r="H666" s="1">
        <v>18.75</v>
      </c>
    </row>
    <row r="667" spans="1:8" ht="21.75" customHeight="1">
      <c r="A667" s="1" t="str">
        <f>"1207020001047304"</f>
        <v>1207020001047304</v>
      </c>
      <c r="B667" s="1" t="s">
        <v>2587</v>
      </c>
      <c r="C667" s="1" t="s">
        <v>2588</v>
      </c>
      <c r="D667" s="1" t="s">
        <v>2589</v>
      </c>
      <c r="E667" s="1" t="s">
        <v>2590</v>
      </c>
      <c r="F667" s="1" t="s">
        <v>222</v>
      </c>
      <c r="G667" s="1">
        <v>401105</v>
      </c>
      <c r="H667" s="1">
        <v>28.5</v>
      </c>
    </row>
    <row r="668" spans="1:8" ht="21.75" customHeight="1">
      <c r="A668" s="1" t="str">
        <f>"IN30290248046718"</f>
        <v>IN30290248046718</v>
      </c>
      <c r="B668" s="1" t="s">
        <v>2591</v>
      </c>
      <c r="C668" s="1" t="s">
        <v>2592</v>
      </c>
      <c r="D668" s="1" t="s">
        <v>2593</v>
      </c>
      <c r="E668" s="1" t="s">
        <v>2594</v>
      </c>
      <c r="F668" s="1"/>
      <c r="G668" s="1">
        <v>401107</v>
      </c>
      <c r="H668" s="1">
        <v>0.75</v>
      </c>
    </row>
    <row r="669" spans="1:8" ht="21.75" customHeight="1">
      <c r="A669" s="1" t="str">
        <f>"1208870005947113"</f>
        <v>1208870005947113</v>
      </c>
      <c r="B669" s="1" t="s">
        <v>2595</v>
      </c>
      <c r="C669" s="1" t="s">
        <v>2596</v>
      </c>
      <c r="D669" s="1" t="s">
        <v>2597</v>
      </c>
      <c r="E669" s="1" t="s">
        <v>2598</v>
      </c>
      <c r="F669" s="1" t="s">
        <v>222</v>
      </c>
      <c r="G669" s="1">
        <v>401107</v>
      </c>
      <c r="H669" s="1">
        <v>1.5</v>
      </c>
    </row>
    <row r="670" spans="1:8" ht="21.75" customHeight="1">
      <c r="A670" s="1" t="str">
        <f>"1208160020904773"</f>
        <v>1208160020904773</v>
      </c>
      <c r="B670" s="1" t="s">
        <v>2599</v>
      </c>
      <c r="C670" s="1" t="s">
        <v>2600</v>
      </c>
      <c r="D670" s="1" t="s">
        <v>2601</v>
      </c>
      <c r="E670" s="1"/>
      <c r="F670" s="1" t="s">
        <v>222</v>
      </c>
      <c r="G670" s="1">
        <v>401107</v>
      </c>
      <c r="H670" s="1">
        <v>0.75</v>
      </c>
    </row>
    <row r="671" spans="1:8" ht="21.75" customHeight="1">
      <c r="A671" s="1" t="str">
        <f>"1204920002090870"</f>
        <v>1204920002090870</v>
      </c>
      <c r="B671" s="1" t="s">
        <v>2602</v>
      </c>
      <c r="C671" s="1" t="s">
        <v>2603</v>
      </c>
      <c r="D671" s="1" t="s">
        <v>2604</v>
      </c>
      <c r="E671" s="1" t="s">
        <v>2605</v>
      </c>
      <c r="F671" s="1" t="s">
        <v>222</v>
      </c>
      <c r="G671" s="1">
        <v>401107</v>
      </c>
      <c r="H671" s="1">
        <v>6</v>
      </c>
    </row>
    <row r="672" spans="1:8" ht="21.75" customHeight="1">
      <c r="A672" s="1" t="str">
        <f>"1205420000369057"</f>
        <v>1205420000369057</v>
      </c>
      <c r="B672" s="1" t="s">
        <v>2606</v>
      </c>
      <c r="C672" s="1" t="s">
        <v>2607</v>
      </c>
      <c r="D672" s="1" t="s">
        <v>2608</v>
      </c>
      <c r="E672" s="1" t="s">
        <v>2609</v>
      </c>
      <c r="F672" s="1" t="s">
        <v>222</v>
      </c>
      <c r="G672" s="1">
        <v>401107</v>
      </c>
      <c r="H672" s="1">
        <v>112.5</v>
      </c>
    </row>
    <row r="673" spans="1:8" ht="21.75" customHeight="1">
      <c r="A673" s="1" t="str">
        <f>"1208160062486962"</f>
        <v>1208160062486962</v>
      </c>
      <c r="B673" s="1" t="s">
        <v>2610</v>
      </c>
      <c r="C673" s="1" t="s">
        <v>2611</v>
      </c>
      <c r="D673" s="1" t="s">
        <v>2612</v>
      </c>
      <c r="E673" s="1"/>
      <c r="F673" s="1" t="s">
        <v>178</v>
      </c>
      <c r="G673" s="1">
        <v>401202</v>
      </c>
      <c r="H673" s="1">
        <v>4.5</v>
      </c>
    </row>
    <row r="674" spans="1:8" ht="21.75" customHeight="1">
      <c r="A674" s="1" t="str">
        <f>"1201090008382965"</f>
        <v>1201090008382965</v>
      </c>
      <c r="B674" s="1" t="s">
        <v>2613</v>
      </c>
      <c r="C674" s="1" t="s">
        <v>2614</v>
      </c>
      <c r="D674" s="1" t="s">
        <v>2615</v>
      </c>
      <c r="E674" s="1" t="s">
        <v>2616</v>
      </c>
      <c r="F674" s="1" t="s">
        <v>2617</v>
      </c>
      <c r="G674" s="1">
        <v>401203</v>
      </c>
      <c r="H674" s="1">
        <v>3.75</v>
      </c>
    </row>
    <row r="675" spans="1:8" ht="21.75" customHeight="1">
      <c r="A675" s="1" t="str">
        <f>"1208160028771418"</f>
        <v>1208160028771418</v>
      </c>
      <c r="B675" s="1" t="s">
        <v>2618</v>
      </c>
      <c r="C675" s="1" t="s">
        <v>2619</v>
      </c>
      <c r="D675" s="1" t="s">
        <v>2620</v>
      </c>
      <c r="E675" s="1"/>
      <c r="F675" s="1" t="s">
        <v>178</v>
      </c>
      <c r="G675" s="1">
        <v>401209</v>
      </c>
      <c r="H675" s="1">
        <v>0.75</v>
      </c>
    </row>
    <row r="676" spans="1:8" ht="21.75" customHeight="1">
      <c r="A676" s="1" t="str">
        <f>"IN30021425159133"</f>
        <v>IN30021425159133</v>
      </c>
      <c r="B676" s="1" t="s">
        <v>2621</v>
      </c>
      <c r="C676" s="1" t="s">
        <v>2622</v>
      </c>
      <c r="D676" s="1" t="s">
        <v>2623</v>
      </c>
      <c r="E676" s="1" t="s">
        <v>2624</v>
      </c>
      <c r="F676" s="1"/>
      <c r="G676" s="1">
        <v>401303</v>
      </c>
      <c r="H676" s="1">
        <v>8.25</v>
      </c>
    </row>
    <row r="677" spans="1:8" ht="21.75" customHeight="1">
      <c r="A677" s="1" t="str">
        <f>"IN30429570702025"</f>
        <v>IN30429570702025</v>
      </c>
      <c r="B677" s="1" t="s">
        <v>2625</v>
      </c>
      <c r="C677" s="1" t="s">
        <v>2626</v>
      </c>
      <c r="D677" s="1" t="s">
        <v>2627</v>
      </c>
      <c r="E677" s="1" t="s">
        <v>2628</v>
      </c>
      <c r="F677" s="1"/>
      <c r="G677" s="1">
        <v>401305</v>
      </c>
      <c r="H677" s="1">
        <v>3.75</v>
      </c>
    </row>
    <row r="678" spans="1:8" ht="21.75" customHeight="1">
      <c r="A678" s="1" t="str">
        <f>"IN30429524265740"</f>
        <v>IN30429524265740</v>
      </c>
      <c r="B678" s="1" t="s">
        <v>2629</v>
      </c>
      <c r="C678" s="1" t="s">
        <v>2630</v>
      </c>
      <c r="D678" s="1" t="s">
        <v>2631</v>
      </c>
      <c r="E678" s="1" t="s">
        <v>2632</v>
      </c>
      <c r="F678" s="1"/>
      <c r="G678" s="1">
        <v>402111</v>
      </c>
      <c r="H678" s="1">
        <v>0.75</v>
      </c>
    </row>
    <row r="679" spans="1:8" ht="21.75" customHeight="1">
      <c r="A679" s="1" t="str">
        <f>"1204470006759482"</f>
        <v>1204470006759482</v>
      </c>
      <c r="B679" s="1" t="s">
        <v>2633</v>
      </c>
      <c r="C679" s="1" t="s">
        <v>2634</v>
      </c>
      <c r="D679" s="1" t="s">
        <v>2635</v>
      </c>
      <c r="E679" s="1" t="s">
        <v>2636</v>
      </c>
      <c r="F679" s="1" t="s">
        <v>2637</v>
      </c>
      <c r="G679" s="1">
        <v>403002</v>
      </c>
      <c r="H679" s="1">
        <v>6.75</v>
      </c>
    </row>
    <row r="680" spans="1:8" ht="21.75" customHeight="1">
      <c r="A680" s="1" t="str">
        <f>"IN30023915173113"</f>
        <v>IN30023915173113</v>
      </c>
      <c r="B680" s="1" t="s">
        <v>2638</v>
      </c>
      <c r="C680" s="1" t="s">
        <v>2639</v>
      </c>
      <c r="D680" s="1" t="s">
        <v>2640</v>
      </c>
      <c r="E680" s="1" t="s">
        <v>2641</v>
      </c>
      <c r="F680" s="1"/>
      <c r="G680" s="1">
        <v>403705</v>
      </c>
      <c r="H680" s="1">
        <v>22.5</v>
      </c>
    </row>
    <row r="681" spans="1:8" ht="21.75" customHeight="1">
      <c r="A681" s="1" t="str">
        <f>"1208250007479949"</f>
        <v>1208250007479949</v>
      </c>
      <c r="B681" s="1" t="s">
        <v>2643</v>
      </c>
      <c r="C681" s="1" t="s">
        <v>2644</v>
      </c>
      <c r="D681" s="1" t="s">
        <v>2645</v>
      </c>
      <c r="E681" s="1"/>
      <c r="F681" s="1" t="s">
        <v>2642</v>
      </c>
      <c r="G681" s="1">
        <v>403713</v>
      </c>
      <c r="H681" s="1">
        <v>15</v>
      </c>
    </row>
    <row r="682" spans="1:8" ht="21.75" customHeight="1">
      <c r="A682" s="1" t="str">
        <f>"IN30021412978789"</f>
        <v>IN30021412978789</v>
      </c>
      <c r="B682" s="1" t="s">
        <v>2646</v>
      </c>
      <c r="C682" s="1" t="s">
        <v>2647</v>
      </c>
      <c r="D682" s="1" t="s">
        <v>2648</v>
      </c>
      <c r="E682" s="1" t="s">
        <v>2649</v>
      </c>
      <c r="F682" s="1"/>
      <c r="G682" s="1">
        <v>403801</v>
      </c>
      <c r="H682" s="1">
        <v>15</v>
      </c>
    </row>
    <row r="683" spans="1:8" ht="21.75" customHeight="1">
      <c r="A683" s="1" t="str">
        <f>"1201910101925363"</f>
        <v>1201910101925363</v>
      </c>
      <c r="B683" s="1" t="s">
        <v>2650</v>
      </c>
      <c r="C683" s="1" t="s">
        <v>2651</v>
      </c>
      <c r="D683" s="1" t="s">
        <v>2652</v>
      </c>
      <c r="E683" s="1"/>
      <c r="F683" s="1" t="s">
        <v>830</v>
      </c>
      <c r="G683" s="1">
        <v>410032</v>
      </c>
      <c r="H683" s="1">
        <v>202.5</v>
      </c>
    </row>
    <row r="684" spans="1:8" ht="21.75" customHeight="1">
      <c r="A684" s="1" t="str">
        <f>"1208160062684441"</f>
        <v>1208160062684441</v>
      </c>
      <c r="B684" s="1" t="s">
        <v>2653</v>
      </c>
      <c r="C684" s="1" t="s">
        <v>2654</v>
      </c>
      <c r="D684" s="1" t="s">
        <v>2655</v>
      </c>
      <c r="E684" s="1"/>
      <c r="F684" s="1" t="s">
        <v>1891</v>
      </c>
      <c r="G684" s="1">
        <v>410201</v>
      </c>
      <c r="H684" s="1">
        <v>1041.75</v>
      </c>
    </row>
    <row r="685" spans="1:8" ht="21.75" customHeight="1">
      <c r="A685" s="1" t="str">
        <f>"IN30311613832448"</f>
        <v>IN30311613832448</v>
      </c>
      <c r="B685" s="1" t="s">
        <v>2656</v>
      </c>
      <c r="C685" s="1" t="s">
        <v>2657</v>
      </c>
      <c r="D685" s="1" t="s">
        <v>2658</v>
      </c>
      <c r="E685" s="1" t="s">
        <v>2659</v>
      </c>
      <c r="F685" s="1"/>
      <c r="G685" s="1">
        <v>410206</v>
      </c>
      <c r="H685" s="1">
        <v>2.25</v>
      </c>
    </row>
    <row r="686" spans="1:8" ht="21.75" customHeight="1">
      <c r="A686" s="1" t="str">
        <f>"1201090023658204"</f>
        <v>1201090023658204</v>
      </c>
      <c r="B686" s="1" t="s">
        <v>2660</v>
      </c>
      <c r="C686" s="1" t="s">
        <v>2661</v>
      </c>
      <c r="D686" s="1" t="s">
        <v>2662</v>
      </c>
      <c r="E686" s="1" t="s">
        <v>2663</v>
      </c>
      <c r="F686" s="1" t="s">
        <v>793</v>
      </c>
      <c r="G686" s="1">
        <v>410210</v>
      </c>
      <c r="H686" s="1">
        <v>43.5</v>
      </c>
    </row>
    <row r="687" spans="1:8" ht="21.75" customHeight="1">
      <c r="A687" s="1" t="str">
        <f>"1203230003444457"</f>
        <v>1203230003444457</v>
      </c>
      <c r="B687" s="1" t="s">
        <v>2664</v>
      </c>
      <c r="C687" s="1" t="s">
        <v>2665</v>
      </c>
      <c r="D687" s="1" t="s">
        <v>2666</v>
      </c>
      <c r="E687" s="1" t="s">
        <v>2667</v>
      </c>
      <c r="F687" s="1" t="s">
        <v>2668</v>
      </c>
      <c r="G687" s="1">
        <v>410210</v>
      </c>
      <c r="H687" s="1">
        <v>5.25</v>
      </c>
    </row>
    <row r="688" spans="1:8" ht="21.75" customHeight="1">
      <c r="A688" s="1" t="str">
        <f>"1204470006683223"</f>
        <v>1204470006683223</v>
      </c>
      <c r="B688" s="1" t="s">
        <v>2669</v>
      </c>
      <c r="C688" s="1" t="s">
        <v>2670</v>
      </c>
      <c r="D688" s="1" t="s">
        <v>2671</v>
      </c>
      <c r="E688" s="1" t="s">
        <v>2672</v>
      </c>
      <c r="F688" s="1" t="s">
        <v>793</v>
      </c>
      <c r="G688" s="1">
        <v>410218</v>
      </c>
      <c r="H688" s="1">
        <v>39.75</v>
      </c>
    </row>
    <row r="689" spans="1:8" ht="21.75" customHeight="1">
      <c r="A689" s="1" t="str">
        <f>"1208160060144400"</f>
        <v>1208160060144400</v>
      </c>
      <c r="B689" s="1" t="s">
        <v>2673</v>
      </c>
      <c r="C689" s="1" t="s">
        <v>2674</v>
      </c>
      <c r="D689" s="1" t="s">
        <v>2675</v>
      </c>
      <c r="E689" s="1"/>
      <c r="F689" s="1" t="s">
        <v>231</v>
      </c>
      <c r="G689" s="1">
        <v>410405</v>
      </c>
      <c r="H689" s="1">
        <v>4.5</v>
      </c>
    </row>
    <row r="690" spans="1:8" ht="21.75" customHeight="1">
      <c r="A690" s="1" t="str">
        <f>"1204920002416571"</f>
        <v>1204920002416571</v>
      </c>
      <c r="B690" s="1" t="s">
        <v>2676</v>
      </c>
      <c r="C690" s="1" t="s">
        <v>2677</v>
      </c>
      <c r="D690" s="1" t="s">
        <v>2678</v>
      </c>
      <c r="E690" s="1" t="s">
        <v>2679</v>
      </c>
      <c r="F690" s="1" t="s">
        <v>231</v>
      </c>
      <c r="G690" s="1">
        <v>410501</v>
      </c>
      <c r="H690" s="1">
        <v>0.75</v>
      </c>
    </row>
    <row r="691" spans="1:8" ht="21.75" customHeight="1">
      <c r="A691" s="1" t="str">
        <f>"1203320019756099"</f>
        <v>1203320019756099</v>
      </c>
      <c r="B691" s="1" t="s">
        <v>2680</v>
      </c>
      <c r="C691" s="1" t="s">
        <v>2681</v>
      </c>
      <c r="D691" s="1" t="s">
        <v>2682</v>
      </c>
      <c r="E691" s="1" t="s">
        <v>2683</v>
      </c>
      <c r="F691" s="1" t="s">
        <v>231</v>
      </c>
      <c r="G691" s="1">
        <v>410501</v>
      </c>
      <c r="H691" s="1">
        <v>15.75</v>
      </c>
    </row>
    <row r="692" spans="1:8" ht="21.75" customHeight="1">
      <c r="A692" s="1" t="str">
        <f>"1208180012385451"</f>
        <v>1208180012385451</v>
      </c>
      <c r="B692" s="1" t="s">
        <v>2684</v>
      </c>
      <c r="C692" s="1" t="s">
        <v>2685</v>
      </c>
      <c r="D692" s="1" t="s">
        <v>2686</v>
      </c>
      <c r="E692" s="1" t="s">
        <v>2687</v>
      </c>
      <c r="F692" s="1" t="s">
        <v>231</v>
      </c>
      <c r="G692" s="1">
        <v>410505</v>
      </c>
      <c r="H692" s="1">
        <v>11.25</v>
      </c>
    </row>
    <row r="693" spans="1:8" ht="21.75" customHeight="1">
      <c r="A693" s="1" t="str">
        <f>"1208180037934364"</f>
        <v>1208180037934364</v>
      </c>
      <c r="B693" s="1" t="s">
        <v>2688</v>
      </c>
      <c r="C693" s="1" t="s">
        <v>2689</v>
      </c>
      <c r="D693" s="1"/>
      <c r="E693" s="1"/>
      <c r="F693" s="1" t="s">
        <v>231</v>
      </c>
      <c r="G693" s="1">
        <v>410515</v>
      </c>
      <c r="H693" s="1">
        <v>3.75</v>
      </c>
    </row>
    <row r="694" spans="1:8" ht="21.75" customHeight="1">
      <c r="A694" s="1" t="str">
        <f>"IN30429514812018"</f>
        <v>IN30429514812018</v>
      </c>
      <c r="B694" s="1" t="s">
        <v>2690</v>
      </c>
      <c r="C694" s="1" t="s">
        <v>2691</v>
      </c>
      <c r="D694" s="1" t="s">
        <v>2692</v>
      </c>
      <c r="E694" s="1" t="s">
        <v>2693</v>
      </c>
      <c r="F694" s="1"/>
      <c r="G694" s="1">
        <v>411001</v>
      </c>
      <c r="H694" s="1">
        <v>0.75</v>
      </c>
    </row>
    <row r="695" spans="1:8" ht="21.75" customHeight="1">
      <c r="A695" s="1" t="str">
        <f>"IN30429514811074"</f>
        <v>IN30429514811074</v>
      </c>
      <c r="B695" s="1" t="s">
        <v>2694</v>
      </c>
      <c r="C695" s="1" t="s">
        <v>2691</v>
      </c>
      <c r="D695" s="1" t="s">
        <v>2695</v>
      </c>
      <c r="E695" s="1" t="s">
        <v>2693</v>
      </c>
      <c r="F695" s="1"/>
      <c r="G695" s="1">
        <v>411001</v>
      </c>
      <c r="H695" s="1">
        <v>0.75</v>
      </c>
    </row>
    <row r="696" spans="1:8" ht="21.75" customHeight="1">
      <c r="A696" s="1" t="str">
        <f>"1204920001379653"</f>
        <v>1204920001379653</v>
      </c>
      <c r="B696" s="1" t="s">
        <v>2696</v>
      </c>
      <c r="C696" s="1" t="s">
        <v>2697</v>
      </c>
      <c r="D696" s="1" t="s">
        <v>2698</v>
      </c>
      <c r="E696" s="1" t="s">
        <v>2699</v>
      </c>
      <c r="F696" s="1" t="s">
        <v>231</v>
      </c>
      <c r="G696" s="1">
        <v>411001</v>
      </c>
      <c r="H696" s="1">
        <v>0.75</v>
      </c>
    </row>
    <row r="697" spans="1:8" ht="21.75" customHeight="1">
      <c r="A697" s="1" t="str">
        <f>"IN30051321512972"</f>
        <v>IN30051321512972</v>
      </c>
      <c r="B697" s="1" t="s">
        <v>2700</v>
      </c>
      <c r="C697" s="1" t="s">
        <v>2701</v>
      </c>
      <c r="D697" s="1" t="s">
        <v>2702</v>
      </c>
      <c r="E697" s="1" t="s">
        <v>2703</v>
      </c>
      <c r="F697" s="1"/>
      <c r="G697" s="1">
        <v>411006</v>
      </c>
      <c r="H697" s="1">
        <v>37.5</v>
      </c>
    </row>
    <row r="698" spans="1:8" ht="21.75" customHeight="1">
      <c r="A698" s="1" t="str">
        <f>"1208160075521792"</f>
        <v>1208160075521792</v>
      </c>
      <c r="B698" s="1" t="s">
        <v>2704</v>
      </c>
      <c r="C698" s="1" t="s">
        <v>2705</v>
      </c>
      <c r="D698" s="1" t="s">
        <v>2706</v>
      </c>
      <c r="E698" s="1"/>
      <c r="F698" s="1" t="s">
        <v>231</v>
      </c>
      <c r="G698" s="1">
        <v>411006</v>
      </c>
      <c r="H698" s="1">
        <v>0.75</v>
      </c>
    </row>
    <row r="699" spans="1:8" ht="21.75" customHeight="1">
      <c r="A699" s="1" t="str">
        <f>"IN30051385610022"</f>
        <v>IN30051385610022</v>
      </c>
      <c r="B699" s="1" t="s">
        <v>2707</v>
      </c>
      <c r="C699" s="1" t="s">
        <v>2708</v>
      </c>
      <c r="D699" s="1" t="s">
        <v>2709</v>
      </c>
      <c r="E699" s="1" t="s">
        <v>2710</v>
      </c>
      <c r="F699" s="1"/>
      <c r="G699" s="1">
        <v>411007</v>
      </c>
      <c r="H699" s="1">
        <v>3.75</v>
      </c>
    </row>
    <row r="700" spans="1:8" ht="21.75" customHeight="1">
      <c r="A700" s="1" t="str">
        <f>"IN30021417050828"</f>
        <v>IN30021417050828</v>
      </c>
      <c r="B700" s="1" t="s">
        <v>2711</v>
      </c>
      <c r="C700" s="1" t="s">
        <v>2712</v>
      </c>
      <c r="D700" s="1"/>
      <c r="E700" s="1" t="s">
        <v>2713</v>
      </c>
      <c r="F700" s="1"/>
      <c r="G700" s="1">
        <v>411011</v>
      </c>
      <c r="H700" s="1">
        <v>3.75</v>
      </c>
    </row>
    <row r="701" spans="1:8" ht="21.75" customHeight="1">
      <c r="A701" s="1" t="str">
        <f>"1208870004644794"</f>
        <v>1208870004644794</v>
      </c>
      <c r="B701" s="1" t="s">
        <v>2714</v>
      </c>
      <c r="C701" s="1" t="s">
        <v>2715</v>
      </c>
      <c r="D701" s="1" t="s">
        <v>2716</v>
      </c>
      <c r="E701" s="1" t="s">
        <v>2717</v>
      </c>
      <c r="F701" s="1" t="s">
        <v>231</v>
      </c>
      <c r="G701" s="1">
        <v>411011</v>
      </c>
      <c r="H701" s="1">
        <v>22.5</v>
      </c>
    </row>
    <row r="702" spans="1:8" ht="21.75" customHeight="1">
      <c r="A702" s="1" t="str">
        <f>"1203600001355354"</f>
        <v>1203600001355354</v>
      </c>
      <c r="B702" s="1" t="s">
        <v>2718</v>
      </c>
      <c r="C702" s="1" t="s">
        <v>2719</v>
      </c>
      <c r="D702" s="1" t="s">
        <v>2720</v>
      </c>
      <c r="E702" s="1" t="s">
        <v>2721</v>
      </c>
      <c r="F702" s="1" t="s">
        <v>231</v>
      </c>
      <c r="G702" s="1">
        <v>411013</v>
      </c>
      <c r="H702" s="1">
        <v>13.5</v>
      </c>
    </row>
    <row r="703" spans="1:8" ht="21.75" customHeight="1">
      <c r="A703" s="1" t="str">
        <f>"1208870057447565"</f>
        <v>1208870057447565</v>
      </c>
      <c r="B703" s="1" t="s">
        <v>2722</v>
      </c>
      <c r="C703" s="1" t="s">
        <v>2723</v>
      </c>
      <c r="D703" s="1" t="s">
        <v>2724</v>
      </c>
      <c r="E703" s="1" t="s">
        <v>2725</v>
      </c>
      <c r="F703" s="1" t="s">
        <v>231</v>
      </c>
      <c r="G703" s="1">
        <v>411015</v>
      </c>
      <c r="H703" s="1">
        <v>3.75</v>
      </c>
    </row>
    <row r="704" spans="1:8" ht="21.75" customHeight="1">
      <c r="A704" s="1" t="str">
        <f>"IN30051312956582"</f>
        <v>IN30051312956582</v>
      </c>
      <c r="B704" s="1" t="s">
        <v>2726</v>
      </c>
      <c r="C704" s="1" t="s">
        <v>2727</v>
      </c>
      <c r="D704" s="1" t="s">
        <v>2728</v>
      </c>
      <c r="E704" s="1" t="s">
        <v>2729</v>
      </c>
      <c r="F704" s="1"/>
      <c r="G704" s="1">
        <v>411017</v>
      </c>
      <c r="H704" s="1">
        <v>570</v>
      </c>
    </row>
    <row r="705" spans="1:8" ht="21.75" customHeight="1">
      <c r="A705" s="1" t="str">
        <f>"1208160063562261"</f>
        <v>1208160063562261</v>
      </c>
      <c r="B705" s="1" t="s">
        <v>2730</v>
      </c>
      <c r="C705" s="1" t="s">
        <v>2731</v>
      </c>
      <c r="D705" s="1"/>
      <c r="E705" s="1"/>
      <c r="F705" s="1" t="s">
        <v>231</v>
      </c>
      <c r="G705" s="1">
        <v>411017</v>
      </c>
      <c r="H705" s="1">
        <v>0.75</v>
      </c>
    </row>
    <row r="706" spans="1:8" ht="21.75" customHeight="1">
      <c r="A706" s="1" t="str">
        <f>"IN30051315994092"</f>
        <v>IN30051315994092</v>
      </c>
      <c r="B706" s="1" t="s">
        <v>2732</v>
      </c>
      <c r="C706" s="1" t="s">
        <v>2733</v>
      </c>
      <c r="D706" s="1" t="s">
        <v>2734</v>
      </c>
      <c r="E706" s="1" t="s">
        <v>2735</v>
      </c>
      <c r="F706" s="1"/>
      <c r="G706" s="1">
        <v>411021</v>
      </c>
      <c r="H706" s="1">
        <v>150</v>
      </c>
    </row>
    <row r="707" spans="1:8" ht="21.75" customHeight="1">
      <c r="A707" s="1" t="str">
        <f>"1203320023411559"</f>
        <v>1203320023411559</v>
      </c>
      <c r="B707" s="1" t="s">
        <v>2736</v>
      </c>
      <c r="C707" s="1" t="s">
        <v>2737</v>
      </c>
      <c r="D707" s="1" t="s">
        <v>2738</v>
      </c>
      <c r="E707" s="1" t="s">
        <v>2739</v>
      </c>
      <c r="F707" s="1" t="s">
        <v>231</v>
      </c>
      <c r="G707" s="1">
        <v>411023</v>
      </c>
      <c r="H707" s="1">
        <v>0.75</v>
      </c>
    </row>
    <row r="708" spans="1:8" ht="21.75" customHeight="1">
      <c r="A708" s="1" t="str">
        <f>"IN30429514812139"</f>
        <v>IN30429514812139</v>
      </c>
      <c r="B708" s="1" t="s">
        <v>2740</v>
      </c>
      <c r="C708" s="1" t="s">
        <v>2741</v>
      </c>
      <c r="D708" s="1" t="s">
        <v>2742</v>
      </c>
      <c r="E708" s="1" t="s">
        <v>2743</v>
      </c>
      <c r="F708" s="1"/>
      <c r="G708" s="1">
        <v>411027</v>
      </c>
      <c r="H708" s="1">
        <v>0.75</v>
      </c>
    </row>
    <row r="709" spans="1:8" ht="21.75" customHeight="1">
      <c r="A709" s="1" t="str">
        <f>"1208180002382078"</f>
        <v>1208180002382078</v>
      </c>
      <c r="B709" s="1" t="s">
        <v>2744</v>
      </c>
      <c r="C709" s="1" t="s">
        <v>2745</v>
      </c>
      <c r="D709" s="1" t="s">
        <v>2746</v>
      </c>
      <c r="E709" s="1" t="s">
        <v>2747</v>
      </c>
      <c r="F709" s="1" t="s">
        <v>231</v>
      </c>
      <c r="G709" s="1">
        <v>411027</v>
      </c>
      <c r="H709" s="1">
        <v>146.25</v>
      </c>
    </row>
    <row r="710" spans="1:8" ht="21.75" customHeight="1">
      <c r="A710" s="1" t="str">
        <f>"IN30051311145668"</f>
        <v>IN30051311145668</v>
      </c>
      <c r="B710" s="1" t="s">
        <v>2748</v>
      </c>
      <c r="C710" s="1" t="s">
        <v>2749</v>
      </c>
      <c r="D710" s="1" t="s">
        <v>2750</v>
      </c>
      <c r="E710" s="1" t="s">
        <v>231</v>
      </c>
      <c r="F710" s="1"/>
      <c r="G710" s="1">
        <v>411030</v>
      </c>
      <c r="H710" s="1">
        <v>60</v>
      </c>
    </row>
    <row r="711" spans="1:8" ht="21.75" customHeight="1">
      <c r="A711" s="1" t="str">
        <f>"1208870023865054"</f>
        <v>1208870023865054</v>
      </c>
      <c r="B711" s="1" t="s">
        <v>2751</v>
      </c>
      <c r="C711" s="1" t="s">
        <v>2752</v>
      </c>
      <c r="D711" s="1" t="s">
        <v>2753</v>
      </c>
      <c r="E711" s="1" t="s">
        <v>2754</v>
      </c>
      <c r="F711" s="1" t="s">
        <v>231</v>
      </c>
      <c r="G711" s="1">
        <v>411032</v>
      </c>
      <c r="H711" s="1">
        <v>14.25</v>
      </c>
    </row>
    <row r="712" spans="1:8" ht="21.75" customHeight="1">
      <c r="A712" s="1" t="str">
        <f>"1208160030279523"</f>
        <v>1208160030279523</v>
      </c>
      <c r="B712" s="1" t="s">
        <v>2755</v>
      </c>
      <c r="C712" s="1" t="s">
        <v>2756</v>
      </c>
      <c r="D712" s="1" t="s">
        <v>2757</v>
      </c>
      <c r="E712" s="1"/>
      <c r="F712" s="1" t="s">
        <v>231</v>
      </c>
      <c r="G712" s="1">
        <v>411033</v>
      </c>
      <c r="H712" s="1">
        <v>0.75</v>
      </c>
    </row>
    <row r="713" spans="1:8" ht="21.75" customHeight="1">
      <c r="A713" s="1" t="str">
        <f>"1208160062003695"</f>
        <v>1208160062003695</v>
      </c>
      <c r="B713" s="1" t="s">
        <v>2758</v>
      </c>
      <c r="C713" s="1" t="s">
        <v>2759</v>
      </c>
      <c r="D713" s="1"/>
      <c r="E713" s="1"/>
      <c r="F713" s="1" t="s">
        <v>231</v>
      </c>
      <c r="G713" s="1">
        <v>411033</v>
      </c>
      <c r="H713" s="1">
        <v>6</v>
      </c>
    </row>
    <row r="714" spans="1:8" ht="21.75" customHeight="1">
      <c r="A714" s="1" t="str">
        <f>"1208160022523177"</f>
        <v>1208160022523177</v>
      </c>
      <c r="B714" s="1" t="s">
        <v>2760</v>
      </c>
      <c r="C714" s="1" t="s">
        <v>2761</v>
      </c>
      <c r="D714" s="1" t="s">
        <v>2762</v>
      </c>
      <c r="E714" s="1" t="s">
        <v>2763</v>
      </c>
      <c r="F714" s="1" t="s">
        <v>231</v>
      </c>
      <c r="G714" s="1">
        <v>411033</v>
      </c>
      <c r="H714" s="1">
        <v>787.5</v>
      </c>
    </row>
    <row r="715" spans="1:8" ht="21.75" customHeight="1">
      <c r="A715" s="1" t="str">
        <f>"1208160055108719"</f>
        <v>1208160055108719</v>
      </c>
      <c r="B715" s="1" t="s">
        <v>2764</v>
      </c>
      <c r="C715" s="1" t="s">
        <v>2765</v>
      </c>
      <c r="D715" s="1" t="s">
        <v>2766</v>
      </c>
      <c r="E715" s="1"/>
      <c r="F715" s="1" t="s">
        <v>231</v>
      </c>
      <c r="G715" s="1">
        <v>411033</v>
      </c>
      <c r="H715" s="1">
        <v>2.25</v>
      </c>
    </row>
    <row r="716" spans="1:8" ht="21.75" customHeight="1">
      <c r="A716" s="1" t="str">
        <f>"1208870030904291"</f>
        <v>1208870030904291</v>
      </c>
      <c r="B716" s="1" t="s">
        <v>2767</v>
      </c>
      <c r="C716" s="1" t="s">
        <v>2768</v>
      </c>
      <c r="D716" s="1" t="s">
        <v>2769</v>
      </c>
      <c r="E716" s="1" t="s">
        <v>410</v>
      </c>
      <c r="F716" s="1" t="s">
        <v>231</v>
      </c>
      <c r="G716" s="1">
        <v>411037</v>
      </c>
      <c r="H716" s="1">
        <v>0.75</v>
      </c>
    </row>
    <row r="717" spans="1:8" ht="21.75" customHeight="1">
      <c r="A717" s="1" t="str">
        <f>"1204470006800160"</f>
        <v>1204470006800160</v>
      </c>
      <c r="B717" s="1" t="s">
        <v>2770</v>
      </c>
      <c r="C717" s="1" t="s">
        <v>2771</v>
      </c>
      <c r="D717" s="1" t="s">
        <v>2772</v>
      </c>
      <c r="E717" s="1" t="s">
        <v>2773</v>
      </c>
      <c r="F717" s="1" t="s">
        <v>231</v>
      </c>
      <c r="G717" s="1">
        <v>411038</v>
      </c>
      <c r="H717" s="1">
        <v>11.25</v>
      </c>
    </row>
    <row r="718" spans="1:8" ht="21.75" customHeight="1">
      <c r="A718" s="1" t="str">
        <f>"1208160065376339"</f>
        <v>1208160065376339</v>
      </c>
      <c r="B718" s="1" t="s">
        <v>2774</v>
      </c>
      <c r="C718" s="1" t="s">
        <v>2775</v>
      </c>
      <c r="D718" s="1"/>
      <c r="E718" s="1"/>
      <c r="F718" s="1" t="s">
        <v>231</v>
      </c>
      <c r="G718" s="1">
        <v>411039</v>
      </c>
      <c r="H718" s="1">
        <v>37.5</v>
      </c>
    </row>
    <row r="719" spans="1:8" ht="21.75" customHeight="1">
      <c r="A719" s="1" t="str">
        <f>"1204470009818284"</f>
        <v>1204470009818284</v>
      </c>
      <c r="B719" s="1" t="s">
        <v>2776</v>
      </c>
      <c r="C719" s="1" t="s">
        <v>2777</v>
      </c>
      <c r="D719" s="1" t="s">
        <v>2778</v>
      </c>
      <c r="E719" s="1" t="s">
        <v>2779</v>
      </c>
      <c r="F719" s="1" t="s">
        <v>231</v>
      </c>
      <c r="G719" s="1">
        <v>411039</v>
      </c>
      <c r="H719" s="1">
        <v>37.5</v>
      </c>
    </row>
    <row r="720" spans="1:8" ht="21.75" customHeight="1">
      <c r="A720" s="1" t="str">
        <f>"1208870026264923"</f>
        <v>1208870026264923</v>
      </c>
      <c r="B720" s="1" t="s">
        <v>2780</v>
      </c>
      <c r="C720" s="1" t="s">
        <v>2781</v>
      </c>
      <c r="D720" s="1" t="s">
        <v>2782</v>
      </c>
      <c r="E720" s="1" t="s">
        <v>2783</v>
      </c>
      <c r="F720" s="1" t="s">
        <v>231</v>
      </c>
      <c r="G720" s="1">
        <v>411043</v>
      </c>
      <c r="H720" s="1">
        <v>22.5</v>
      </c>
    </row>
    <row r="721" spans="1:8" ht="21.75" customHeight="1">
      <c r="A721" s="1" t="str">
        <f>"IN30021437948996"</f>
        <v>IN30021437948996</v>
      </c>
      <c r="B721" s="1" t="s">
        <v>2784</v>
      </c>
      <c r="C721" s="1" t="s">
        <v>2785</v>
      </c>
      <c r="D721" s="1" t="s">
        <v>2786</v>
      </c>
      <c r="E721" s="1" t="s">
        <v>2787</v>
      </c>
      <c r="F721" s="1"/>
      <c r="G721" s="1">
        <v>411046</v>
      </c>
      <c r="H721" s="1">
        <v>123.75</v>
      </c>
    </row>
    <row r="722" spans="1:8" ht="21.75" customHeight="1">
      <c r="A722" s="1" t="str">
        <f>"IN30045014779566"</f>
        <v>IN30045014779566</v>
      </c>
      <c r="B722" s="1" t="s">
        <v>2788</v>
      </c>
      <c r="C722" s="1" t="s">
        <v>2789</v>
      </c>
      <c r="D722" s="1" t="s">
        <v>2790</v>
      </c>
      <c r="E722" s="1" t="s">
        <v>2791</v>
      </c>
      <c r="F722" s="1"/>
      <c r="G722" s="1">
        <v>411046</v>
      </c>
      <c r="H722" s="1">
        <v>0.75</v>
      </c>
    </row>
    <row r="723" spans="1:8" ht="21.75" customHeight="1">
      <c r="A723" s="1" t="str">
        <f>"1208160054407482"</f>
        <v>1208160054407482</v>
      </c>
      <c r="B723" s="1" t="s">
        <v>2792</v>
      </c>
      <c r="C723" s="1" t="s">
        <v>2793</v>
      </c>
      <c r="D723" s="1" t="s">
        <v>2794</v>
      </c>
      <c r="E723" s="1"/>
      <c r="F723" s="1" t="s">
        <v>231</v>
      </c>
      <c r="G723" s="1">
        <v>411046</v>
      </c>
      <c r="H723" s="1">
        <v>5.25</v>
      </c>
    </row>
    <row r="724" spans="1:8" ht="21.75" customHeight="1">
      <c r="A724" s="1" t="str">
        <f>"IN30075711563796"</f>
        <v>IN30075711563796</v>
      </c>
      <c r="B724" s="1" t="s">
        <v>2795</v>
      </c>
      <c r="C724" s="1" t="s">
        <v>2796</v>
      </c>
      <c r="D724" s="1" t="s">
        <v>2797</v>
      </c>
      <c r="E724" s="1" t="s">
        <v>2798</v>
      </c>
      <c r="F724" s="1"/>
      <c r="G724" s="1">
        <v>411048</v>
      </c>
      <c r="H724" s="1">
        <v>6</v>
      </c>
    </row>
    <row r="725" spans="1:8" ht="21.75" customHeight="1">
      <c r="A725" s="1" t="str">
        <f>"1208870001523390"</f>
        <v>1208870001523390</v>
      </c>
      <c r="B725" s="1" t="s">
        <v>2799</v>
      </c>
      <c r="C725" s="1" t="s">
        <v>2800</v>
      </c>
      <c r="D725" s="1" t="s">
        <v>2801</v>
      </c>
      <c r="E725" s="1" t="s">
        <v>2802</v>
      </c>
      <c r="F725" s="1" t="s">
        <v>231</v>
      </c>
      <c r="G725" s="1">
        <v>411057</v>
      </c>
      <c r="H725" s="1">
        <v>24</v>
      </c>
    </row>
    <row r="726" spans="1:8" ht="21.75" customHeight="1">
      <c r="A726" s="1" t="str">
        <f>"IN30021434662357"</f>
        <v>IN30021434662357</v>
      </c>
      <c r="B726" s="1" t="s">
        <v>2803</v>
      </c>
      <c r="C726" s="1" t="s">
        <v>2804</v>
      </c>
      <c r="D726" s="1" t="s">
        <v>2805</v>
      </c>
      <c r="E726" s="1" t="s">
        <v>2806</v>
      </c>
      <c r="F726" s="1"/>
      <c r="G726" s="1">
        <v>411061</v>
      </c>
      <c r="H726" s="1">
        <v>3.75</v>
      </c>
    </row>
    <row r="727" spans="1:8" ht="21.75" customHeight="1">
      <c r="A727" s="1" t="str">
        <f>"1201060002776830"</f>
        <v>1201060002776830</v>
      </c>
      <c r="B727" s="1" t="s">
        <v>2807</v>
      </c>
      <c r="C727" s="1" t="s">
        <v>2808</v>
      </c>
      <c r="D727" s="1" t="s">
        <v>2809</v>
      </c>
      <c r="E727" s="1" t="s">
        <v>2810</v>
      </c>
      <c r="F727" s="1" t="s">
        <v>231</v>
      </c>
      <c r="G727" s="1">
        <v>412101</v>
      </c>
      <c r="H727" s="1">
        <v>15.75</v>
      </c>
    </row>
    <row r="728" spans="1:8" ht="21.75" customHeight="1">
      <c r="A728" s="1" t="str">
        <f>"1204920002459939"</f>
        <v>1204920002459939</v>
      </c>
      <c r="B728" s="1" t="s">
        <v>2811</v>
      </c>
      <c r="C728" s="1" t="s">
        <v>2812</v>
      </c>
      <c r="D728" s="1" t="s">
        <v>2813</v>
      </c>
      <c r="E728" s="1" t="s">
        <v>2814</v>
      </c>
      <c r="F728" s="1" t="s">
        <v>231</v>
      </c>
      <c r="G728" s="1">
        <v>412114</v>
      </c>
      <c r="H728" s="1">
        <v>0.75</v>
      </c>
    </row>
    <row r="729" spans="1:8" ht="21.75" customHeight="1">
      <c r="A729" s="1" t="str">
        <f>"1203320084005623"</f>
        <v>1203320084005623</v>
      </c>
      <c r="B729" s="1" t="s">
        <v>2815</v>
      </c>
      <c r="C729" s="1" t="s">
        <v>2816</v>
      </c>
      <c r="D729" s="1" t="s">
        <v>2817</v>
      </c>
      <c r="E729" s="1"/>
      <c r="F729" s="1" t="s">
        <v>231</v>
      </c>
      <c r="G729" s="1">
        <v>412201</v>
      </c>
      <c r="H729" s="1">
        <v>3</v>
      </c>
    </row>
    <row r="730" spans="1:8" ht="21.75" customHeight="1">
      <c r="A730" s="1" t="str">
        <f>"1208870014945303"</f>
        <v>1208870014945303</v>
      </c>
      <c r="B730" s="1" t="s">
        <v>2818</v>
      </c>
      <c r="C730" s="1" t="s">
        <v>2819</v>
      </c>
      <c r="D730" s="1" t="s">
        <v>2820</v>
      </c>
      <c r="E730" s="1" t="s">
        <v>2821</v>
      </c>
      <c r="F730" s="1" t="s">
        <v>231</v>
      </c>
      <c r="G730" s="1">
        <v>412201</v>
      </c>
      <c r="H730" s="1">
        <v>18.75</v>
      </c>
    </row>
    <row r="731" spans="1:8" ht="21.75" customHeight="1">
      <c r="A731" s="1" t="str">
        <f>"1203320080434173"</f>
        <v>1203320080434173</v>
      </c>
      <c r="B731" s="1" t="s">
        <v>2822</v>
      </c>
      <c r="C731" s="1" t="s">
        <v>2823</v>
      </c>
      <c r="D731" s="1" t="s">
        <v>2824</v>
      </c>
      <c r="E731" s="1"/>
      <c r="F731" s="1" t="s">
        <v>231</v>
      </c>
      <c r="G731" s="1">
        <v>412201</v>
      </c>
      <c r="H731" s="1">
        <v>2.25</v>
      </c>
    </row>
    <row r="732" spans="1:8" ht="21.75" customHeight="1">
      <c r="A732" s="1" t="str">
        <f>"IN30429514716202"</f>
        <v>IN30429514716202</v>
      </c>
      <c r="B732" s="1" t="s">
        <v>2825</v>
      </c>
      <c r="C732" s="1" t="s">
        <v>2826</v>
      </c>
      <c r="D732" s="1" t="s">
        <v>238</v>
      </c>
      <c r="E732" s="1" t="s">
        <v>231</v>
      </c>
      <c r="F732" s="1"/>
      <c r="G732" s="1">
        <v>412205</v>
      </c>
      <c r="H732" s="1">
        <v>3.75</v>
      </c>
    </row>
    <row r="733" spans="1:8" ht="21.75" customHeight="1">
      <c r="A733" s="1" t="str">
        <f>"1208160091712008"</f>
        <v>1208160091712008</v>
      </c>
      <c r="B733" s="1" t="s">
        <v>2827</v>
      </c>
      <c r="C733" s="1" t="s">
        <v>2828</v>
      </c>
      <c r="D733" s="1"/>
      <c r="E733" s="1"/>
      <c r="F733" s="1" t="s">
        <v>231</v>
      </c>
      <c r="G733" s="1">
        <v>412207</v>
      </c>
      <c r="H733" s="1">
        <v>15</v>
      </c>
    </row>
    <row r="734" spans="1:8" ht="21.75" customHeight="1">
      <c r="A734" s="1" t="str">
        <f>"IN30429514800679"</f>
        <v>IN30429514800679</v>
      </c>
      <c r="B734" s="1" t="s">
        <v>2829</v>
      </c>
      <c r="C734" s="1" t="s">
        <v>2830</v>
      </c>
      <c r="D734" s="1" t="s">
        <v>2831</v>
      </c>
      <c r="E734" s="1" t="s">
        <v>2832</v>
      </c>
      <c r="F734" s="1"/>
      <c r="G734" s="1">
        <v>412208</v>
      </c>
      <c r="H734" s="1">
        <v>0.75</v>
      </c>
    </row>
    <row r="735" spans="1:8" ht="21.75" customHeight="1">
      <c r="A735" s="1" t="str">
        <f>"1208160019949441"</f>
        <v>1208160019949441</v>
      </c>
      <c r="B735" s="1" t="s">
        <v>2833</v>
      </c>
      <c r="C735" s="1" t="s">
        <v>2834</v>
      </c>
      <c r="D735" s="1"/>
      <c r="E735" s="1"/>
      <c r="F735" s="1" t="s">
        <v>231</v>
      </c>
      <c r="G735" s="1">
        <v>412218</v>
      </c>
      <c r="H735" s="1">
        <v>67.5</v>
      </c>
    </row>
    <row r="736" spans="1:8" ht="21.75" customHeight="1">
      <c r="A736" s="1" t="str">
        <f>"1204920001876828"</f>
        <v>1204920001876828</v>
      </c>
      <c r="B736" s="1" t="s">
        <v>2836</v>
      </c>
      <c r="C736" s="1" t="s">
        <v>2837</v>
      </c>
      <c r="D736" s="1" t="s">
        <v>2838</v>
      </c>
      <c r="E736" s="1" t="s">
        <v>2839</v>
      </c>
      <c r="F736" s="1" t="s">
        <v>2835</v>
      </c>
      <c r="G736" s="1">
        <v>413001</v>
      </c>
      <c r="H736" s="1">
        <v>3.75</v>
      </c>
    </row>
    <row r="737" spans="1:8" ht="21.75" customHeight="1">
      <c r="A737" s="1" t="str">
        <f>"1208180002836920"</f>
        <v>1208180002836920</v>
      </c>
      <c r="B737" s="1" t="s">
        <v>2840</v>
      </c>
      <c r="C737" s="1" t="s">
        <v>2841</v>
      </c>
      <c r="D737" s="1" t="s">
        <v>2842</v>
      </c>
      <c r="E737" s="1"/>
      <c r="F737" s="1" t="s">
        <v>231</v>
      </c>
      <c r="G737" s="1">
        <v>413102</v>
      </c>
      <c r="H737" s="1">
        <v>7.5</v>
      </c>
    </row>
    <row r="738" spans="1:8" ht="21.75" customHeight="1">
      <c r="A738" s="1" t="str">
        <f>"1208870067545371"</f>
        <v>1208870067545371</v>
      </c>
      <c r="B738" s="1" t="s">
        <v>2843</v>
      </c>
      <c r="C738" s="1" t="s">
        <v>2844</v>
      </c>
      <c r="D738" s="1" t="s">
        <v>2845</v>
      </c>
      <c r="E738" s="1" t="s">
        <v>410</v>
      </c>
      <c r="F738" s="1" t="s">
        <v>231</v>
      </c>
      <c r="G738" s="1">
        <v>413114</v>
      </c>
      <c r="H738" s="1">
        <v>45</v>
      </c>
    </row>
    <row r="739" spans="1:8" ht="21.75" customHeight="1">
      <c r="A739" s="1" t="str">
        <f>"1203320085731571"</f>
        <v>1203320085731571</v>
      </c>
      <c r="B739" s="1" t="s">
        <v>2847</v>
      </c>
      <c r="C739" s="1" t="s">
        <v>2848</v>
      </c>
      <c r="D739" s="1" t="s">
        <v>2849</v>
      </c>
      <c r="E739" s="1"/>
      <c r="F739" s="1" t="s">
        <v>2835</v>
      </c>
      <c r="G739" s="1">
        <v>413209</v>
      </c>
      <c r="H739" s="1">
        <v>4.5</v>
      </c>
    </row>
    <row r="740" spans="1:8" ht="21.75" customHeight="1">
      <c r="A740" s="1" t="str">
        <f>"1208180009473503"</f>
        <v>1208180009473503</v>
      </c>
      <c r="B740" s="1" t="s">
        <v>2850</v>
      </c>
      <c r="C740" s="1" t="s">
        <v>2851</v>
      </c>
      <c r="D740" s="1" t="s">
        <v>2852</v>
      </c>
      <c r="E740" s="1"/>
      <c r="F740" s="1" t="s">
        <v>2835</v>
      </c>
      <c r="G740" s="1">
        <v>413213</v>
      </c>
      <c r="H740" s="1">
        <v>7.5</v>
      </c>
    </row>
    <row r="741" spans="1:8" ht="21.75" customHeight="1">
      <c r="A741" s="1" t="str">
        <f>"1208180035304060"</f>
        <v>1208180035304060</v>
      </c>
      <c r="B741" s="1" t="s">
        <v>2853</v>
      </c>
      <c r="C741" s="1" t="s">
        <v>2854</v>
      </c>
      <c r="D741" s="1" t="s">
        <v>2855</v>
      </c>
      <c r="E741" s="1"/>
      <c r="F741" s="1" t="s">
        <v>2835</v>
      </c>
      <c r="G741" s="1">
        <v>413411</v>
      </c>
      <c r="H741" s="1">
        <v>7.5</v>
      </c>
    </row>
    <row r="742" spans="1:8" ht="21.75" customHeight="1">
      <c r="A742" s="1" t="str">
        <f>"1208160068618471"</f>
        <v>1208160068618471</v>
      </c>
      <c r="B742" s="1" t="s">
        <v>2857</v>
      </c>
      <c r="C742" s="1" t="s">
        <v>2858</v>
      </c>
      <c r="D742" s="1"/>
      <c r="E742" s="1"/>
      <c r="F742" s="1" t="s">
        <v>2856</v>
      </c>
      <c r="G742" s="1">
        <v>413502</v>
      </c>
      <c r="H742" s="1">
        <v>6.75</v>
      </c>
    </row>
    <row r="743" spans="1:8" ht="21.75" customHeight="1">
      <c r="A743" s="1" t="str">
        <f>"1208160029189685"</f>
        <v>1208160029189685</v>
      </c>
      <c r="B743" s="1" t="s">
        <v>2859</v>
      </c>
      <c r="C743" s="1" t="s">
        <v>2860</v>
      </c>
      <c r="D743" s="1"/>
      <c r="E743" s="1"/>
      <c r="F743" s="1" t="s">
        <v>2856</v>
      </c>
      <c r="G743" s="1">
        <v>413512</v>
      </c>
      <c r="H743" s="1">
        <v>7.5</v>
      </c>
    </row>
    <row r="744" spans="1:8" ht="21.75" customHeight="1">
      <c r="A744" s="1" t="str">
        <f>"1203320016273510"</f>
        <v>1203320016273510</v>
      </c>
      <c r="B744" s="1" t="s">
        <v>2861</v>
      </c>
      <c r="C744" s="1" t="s">
        <v>2862</v>
      </c>
      <c r="D744" s="1" t="s">
        <v>2863</v>
      </c>
      <c r="E744" s="1" t="s">
        <v>2864</v>
      </c>
      <c r="F744" s="1" t="s">
        <v>2856</v>
      </c>
      <c r="G744" s="1">
        <v>413517</v>
      </c>
      <c r="H744" s="1">
        <v>750</v>
      </c>
    </row>
    <row r="745" spans="1:8" ht="21.75" customHeight="1">
      <c r="A745" s="1" t="str">
        <f>"1208870002195111"</f>
        <v>1208870002195111</v>
      </c>
      <c r="B745" s="1" t="s">
        <v>2865</v>
      </c>
      <c r="C745" s="1" t="s">
        <v>2866</v>
      </c>
      <c r="D745" s="1" t="s">
        <v>2867</v>
      </c>
      <c r="E745" s="1" t="s">
        <v>2868</v>
      </c>
      <c r="F745" s="1" t="s">
        <v>2856</v>
      </c>
      <c r="G745" s="1">
        <v>413521</v>
      </c>
      <c r="H745" s="1">
        <v>11.25</v>
      </c>
    </row>
    <row r="746" spans="1:8" ht="21.75" customHeight="1">
      <c r="A746" s="1" t="str">
        <f>"1208180001773462"</f>
        <v>1208180001773462</v>
      </c>
      <c r="B746" s="1" t="s">
        <v>2869</v>
      </c>
      <c r="C746" s="1" t="s">
        <v>2870</v>
      </c>
      <c r="D746" s="1" t="s">
        <v>2871</v>
      </c>
      <c r="E746" s="1"/>
      <c r="F746" s="1" t="s">
        <v>2856</v>
      </c>
      <c r="G746" s="1">
        <v>413523</v>
      </c>
      <c r="H746" s="1">
        <v>3.75</v>
      </c>
    </row>
    <row r="747" spans="1:8" ht="21.75" customHeight="1">
      <c r="A747" s="1" t="str">
        <f>"1208870058459078"</f>
        <v>1208870058459078</v>
      </c>
      <c r="B747" s="1" t="s">
        <v>2872</v>
      </c>
      <c r="C747" s="1" t="s">
        <v>2873</v>
      </c>
      <c r="D747" s="1" t="s">
        <v>410</v>
      </c>
      <c r="E747" s="1" t="s">
        <v>410</v>
      </c>
      <c r="F747" s="1" t="s">
        <v>835</v>
      </c>
      <c r="G747" s="1">
        <v>413528</v>
      </c>
      <c r="H747" s="1">
        <v>0.75</v>
      </c>
    </row>
    <row r="748" spans="1:8" ht="21.75" customHeight="1">
      <c r="A748" s="1" t="str">
        <f>"1208870032924412"</f>
        <v>1208870032924412</v>
      </c>
      <c r="B748" s="1" t="s">
        <v>2874</v>
      </c>
      <c r="C748" s="1" t="s">
        <v>2875</v>
      </c>
      <c r="D748" s="1" t="s">
        <v>2876</v>
      </c>
      <c r="E748" s="1" t="s">
        <v>1231</v>
      </c>
      <c r="F748" s="1" t="s">
        <v>2856</v>
      </c>
      <c r="G748" s="1">
        <v>413531</v>
      </c>
      <c r="H748" s="1">
        <v>3.75</v>
      </c>
    </row>
    <row r="749" spans="1:8" ht="21.75" customHeight="1">
      <c r="A749" s="1" t="str">
        <f>"1208180046577273"</f>
        <v>1208180046577273</v>
      </c>
      <c r="B749" s="1" t="s">
        <v>2877</v>
      </c>
      <c r="C749" s="1" t="s">
        <v>2878</v>
      </c>
      <c r="D749" s="1"/>
      <c r="E749" s="1"/>
      <c r="F749" s="1" t="s">
        <v>840</v>
      </c>
      <c r="G749" s="1">
        <v>413702</v>
      </c>
      <c r="H749" s="1">
        <v>5.25</v>
      </c>
    </row>
    <row r="750" spans="1:8" ht="21.75" customHeight="1">
      <c r="A750" s="1" t="str">
        <f>"1208870016215296"</f>
        <v>1208870016215296</v>
      </c>
      <c r="B750" s="1" t="s">
        <v>2879</v>
      </c>
      <c r="C750" s="1" t="s">
        <v>2880</v>
      </c>
      <c r="D750" s="1" t="s">
        <v>2881</v>
      </c>
      <c r="E750" s="1" t="s">
        <v>2882</v>
      </c>
      <c r="F750" s="1" t="s">
        <v>840</v>
      </c>
      <c r="G750" s="1">
        <v>413703</v>
      </c>
      <c r="H750" s="1">
        <v>1.5</v>
      </c>
    </row>
    <row r="751" spans="1:8" ht="21.75" customHeight="1">
      <c r="A751" s="1" t="str">
        <f>"IN30429519634208"</f>
        <v>IN30429519634208</v>
      </c>
      <c r="B751" s="1" t="s">
        <v>2883</v>
      </c>
      <c r="C751" s="1" t="s">
        <v>2884</v>
      </c>
      <c r="D751" s="1" t="s">
        <v>2885</v>
      </c>
      <c r="E751" s="1" t="s">
        <v>2391</v>
      </c>
      <c r="F751" s="1"/>
      <c r="G751" s="1">
        <v>413704</v>
      </c>
      <c r="H751" s="1">
        <v>1.5</v>
      </c>
    </row>
    <row r="752" spans="1:8" ht="21.75" customHeight="1">
      <c r="A752" s="1" t="str">
        <f>"1208160014913863"</f>
        <v>1208160014913863</v>
      </c>
      <c r="B752" s="1" t="s">
        <v>2886</v>
      </c>
      <c r="C752" s="1" t="s">
        <v>2887</v>
      </c>
      <c r="D752" s="1"/>
      <c r="E752" s="1"/>
      <c r="F752" s="1" t="s">
        <v>840</v>
      </c>
      <c r="G752" s="1">
        <v>413714</v>
      </c>
      <c r="H752" s="1">
        <v>9</v>
      </c>
    </row>
    <row r="753" spans="1:8" ht="21.75" customHeight="1">
      <c r="A753" s="1" t="str">
        <f>"1208180049688276"</f>
        <v>1208180049688276</v>
      </c>
      <c r="B753" s="1" t="s">
        <v>2888</v>
      </c>
      <c r="C753" s="1" t="s">
        <v>2889</v>
      </c>
      <c r="D753" s="1" t="s">
        <v>2890</v>
      </c>
      <c r="E753" s="1" t="s">
        <v>2891</v>
      </c>
      <c r="F753" s="1" t="s">
        <v>840</v>
      </c>
      <c r="G753" s="1">
        <v>413715</v>
      </c>
      <c r="H753" s="1">
        <v>7.5</v>
      </c>
    </row>
    <row r="754" spans="1:8" ht="21.75" customHeight="1">
      <c r="A754" s="1" t="str">
        <f>"1208160072439855"</f>
        <v>1208160072439855</v>
      </c>
      <c r="B754" s="1" t="s">
        <v>2894</v>
      </c>
      <c r="C754" s="1" t="s">
        <v>2895</v>
      </c>
      <c r="D754" s="1" t="s">
        <v>2896</v>
      </c>
      <c r="E754" s="1"/>
      <c r="F754" s="1" t="s">
        <v>2893</v>
      </c>
      <c r="G754" s="1">
        <v>414001</v>
      </c>
      <c r="H754" s="1">
        <v>7.5</v>
      </c>
    </row>
    <row r="755" spans="1:8" ht="21.75" customHeight="1">
      <c r="A755" s="1" t="str">
        <f>"1201060004076172"</f>
        <v>1201060004076172</v>
      </c>
      <c r="B755" s="1" t="s">
        <v>2897</v>
      </c>
      <c r="C755" s="1" t="s">
        <v>2898</v>
      </c>
      <c r="D755" s="1" t="s">
        <v>2899</v>
      </c>
      <c r="E755" s="1" t="s">
        <v>840</v>
      </c>
      <c r="F755" s="1" t="s">
        <v>840</v>
      </c>
      <c r="G755" s="1">
        <v>414102</v>
      </c>
      <c r="H755" s="1">
        <v>150</v>
      </c>
    </row>
    <row r="756" spans="1:8" ht="21.75" customHeight="1">
      <c r="A756" s="1" t="str">
        <f>"1302190000150580"</f>
        <v>1302190000150580</v>
      </c>
      <c r="B756" s="1" t="s">
        <v>2900</v>
      </c>
      <c r="C756" s="1" t="s">
        <v>2901</v>
      </c>
      <c r="D756" s="1" t="s">
        <v>2902</v>
      </c>
      <c r="E756" s="1" t="s">
        <v>2903</v>
      </c>
      <c r="F756" s="1" t="s">
        <v>840</v>
      </c>
      <c r="G756" s="1">
        <v>414111</v>
      </c>
      <c r="H756" s="1">
        <v>7.5</v>
      </c>
    </row>
    <row r="757" spans="1:8" ht="21.75" customHeight="1">
      <c r="A757" s="1" t="str">
        <f>"1203320016218410"</f>
        <v>1203320016218410</v>
      </c>
      <c r="B757" s="1" t="s">
        <v>2905</v>
      </c>
      <c r="C757" s="1" t="s">
        <v>2906</v>
      </c>
      <c r="D757" s="1" t="s">
        <v>2907</v>
      </c>
      <c r="E757" s="1" t="s">
        <v>2908</v>
      </c>
      <c r="F757" s="1" t="s">
        <v>2904</v>
      </c>
      <c r="G757" s="1">
        <v>414202</v>
      </c>
      <c r="H757" s="1">
        <v>37.5</v>
      </c>
    </row>
    <row r="758" spans="1:8" ht="21.75" customHeight="1">
      <c r="A758" s="1" t="str">
        <f>"1208180018622630"</f>
        <v>1208180018622630</v>
      </c>
      <c r="B758" s="1" t="s">
        <v>2909</v>
      </c>
      <c r="C758" s="1" t="s">
        <v>2910</v>
      </c>
      <c r="D758" s="1"/>
      <c r="E758" s="1"/>
      <c r="F758" s="1" t="s">
        <v>840</v>
      </c>
      <c r="G758" s="1">
        <v>414502</v>
      </c>
      <c r="H758" s="1">
        <v>0.75</v>
      </c>
    </row>
    <row r="759" spans="1:8" ht="21.75" customHeight="1">
      <c r="A759" s="1" t="str">
        <f>"1203000001154273"</f>
        <v>1203000001154273</v>
      </c>
      <c r="B759" s="1" t="s">
        <v>2911</v>
      </c>
      <c r="C759" s="1" t="s">
        <v>2912</v>
      </c>
      <c r="D759" s="1" t="s">
        <v>2892</v>
      </c>
      <c r="E759" s="1" t="s">
        <v>2913</v>
      </c>
      <c r="F759" s="1" t="s">
        <v>2914</v>
      </c>
      <c r="G759" s="1">
        <v>414502</v>
      </c>
      <c r="H759" s="1">
        <v>45</v>
      </c>
    </row>
    <row r="760" spans="1:8" ht="21.75" customHeight="1">
      <c r="A760" s="1" t="str">
        <f>"IN30051381760645"</f>
        <v>IN30051381760645</v>
      </c>
      <c r="B760" s="1" t="s">
        <v>2915</v>
      </c>
      <c r="C760" s="1" t="s">
        <v>2916</v>
      </c>
      <c r="D760" s="1" t="s">
        <v>2917</v>
      </c>
      <c r="E760" s="1" t="s">
        <v>2918</v>
      </c>
      <c r="F760" s="1"/>
      <c r="G760" s="1">
        <v>415001</v>
      </c>
      <c r="H760" s="1">
        <v>75.75</v>
      </c>
    </row>
    <row r="761" spans="1:8" ht="21.75" customHeight="1">
      <c r="A761" s="1" t="str">
        <f>"1201330000701683"</f>
        <v>1201330000701683</v>
      </c>
      <c r="B761" s="1" t="s">
        <v>2919</v>
      </c>
      <c r="C761" s="1" t="s">
        <v>2920</v>
      </c>
      <c r="D761" s="1" t="s">
        <v>2921</v>
      </c>
      <c r="E761" s="1" t="s">
        <v>2922</v>
      </c>
      <c r="F761" s="1" t="s">
        <v>852</v>
      </c>
      <c r="G761" s="1">
        <v>415002</v>
      </c>
      <c r="H761" s="1">
        <v>30.75</v>
      </c>
    </row>
    <row r="762" spans="1:8" ht="21.75" customHeight="1">
      <c r="A762" s="1" t="str">
        <f>"1204920002313301"</f>
        <v>1204920002313301</v>
      </c>
      <c r="B762" s="1" t="s">
        <v>2923</v>
      </c>
      <c r="C762" s="1" t="s">
        <v>2924</v>
      </c>
      <c r="D762" s="1" t="s">
        <v>2925</v>
      </c>
      <c r="E762" s="1"/>
      <c r="F762" s="1" t="s">
        <v>852</v>
      </c>
      <c r="G762" s="1">
        <v>415002</v>
      </c>
      <c r="H762" s="1">
        <v>0.75</v>
      </c>
    </row>
    <row r="763" spans="1:8" ht="21.75" customHeight="1">
      <c r="A763" s="1" t="str">
        <f>"1208160038632815"</f>
        <v>1208160038632815</v>
      </c>
      <c r="B763" s="1" t="s">
        <v>2926</v>
      </c>
      <c r="C763" s="1" t="s">
        <v>2927</v>
      </c>
      <c r="D763" s="1" t="s">
        <v>2928</v>
      </c>
      <c r="E763" s="1"/>
      <c r="F763" s="1" t="s">
        <v>852</v>
      </c>
      <c r="G763" s="1">
        <v>415110</v>
      </c>
      <c r="H763" s="1">
        <v>45</v>
      </c>
    </row>
    <row r="764" spans="1:8" ht="21.75" customHeight="1">
      <c r="A764" s="1" t="str">
        <f>"1208180037207671"</f>
        <v>1208180037207671</v>
      </c>
      <c r="B764" s="1" t="s">
        <v>2929</v>
      </c>
      <c r="C764" s="1" t="s">
        <v>2930</v>
      </c>
      <c r="D764" s="1" t="s">
        <v>2931</v>
      </c>
      <c r="E764" s="1" t="s">
        <v>852</v>
      </c>
      <c r="F764" s="1" t="s">
        <v>852</v>
      </c>
      <c r="G764" s="1">
        <v>415110</v>
      </c>
      <c r="H764" s="1">
        <v>45</v>
      </c>
    </row>
    <row r="765" spans="1:8" ht="21.75" customHeight="1">
      <c r="A765" s="1" t="str">
        <f>"IN30023980178692"</f>
        <v>IN30023980178692</v>
      </c>
      <c r="B765" s="1" t="s">
        <v>2932</v>
      </c>
      <c r="C765" s="1" t="s">
        <v>2933</v>
      </c>
      <c r="D765" s="1" t="s">
        <v>2934</v>
      </c>
      <c r="E765" s="1" t="s">
        <v>2935</v>
      </c>
      <c r="F765" s="1"/>
      <c r="G765" s="1">
        <v>415302</v>
      </c>
      <c r="H765" s="1">
        <v>37.5</v>
      </c>
    </row>
    <row r="766" spans="1:8" ht="21.75" customHeight="1">
      <c r="A766" s="1" t="str">
        <f>"1208180051586224"</f>
        <v>1208180051586224</v>
      </c>
      <c r="B766" s="1" t="s">
        <v>2937</v>
      </c>
      <c r="C766" s="1" t="s">
        <v>2938</v>
      </c>
      <c r="D766" s="1"/>
      <c r="E766" s="1"/>
      <c r="F766" s="1" t="s">
        <v>2936</v>
      </c>
      <c r="G766" s="1">
        <v>415306</v>
      </c>
      <c r="H766" s="1">
        <v>150</v>
      </c>
    </row>
    <row r="767" spans="1:8" ht="21.75" customHeight="1">
      <c r="A767" s="1" t="str">
        <f>"1208160032498741"</f>
        <v>1208160032498741</v>
      </c>
      <c r="B767" s="1" t="s">
        <v>2939</v>
      </c>
      <c r="C767" s="1" t="s">
        <v>2940</v>
      </c>
      <c r="D767" s="1" t="s">
        <v>2941</v>
      </c>
      <c r="E767" s="1"/>
      <c r="F767" s="1" t="s">
        <v>2936</v>
      </c>
      <c r="G767" s="1">
        <v>415315</v>
      </c>
      <c r="H767" s="1">
        <v>7.5</v>
      </c>
    </row>
    <row r="768" spans="1:8" ht="21.75" customHeight="1">
      <c r="A768" s="1" t="str">
        <f>"1208180050403786"</f>
        <v>1208180050403786</v>
      </c>
      <c r="B768" s="1" t="s">
        <v>2942</v>
      </c>
      <c r="C768" s="1" t="s">
        <v>2943</v>
      </c>
      <c r="D768" s="1" t="s">
        <v>2944</v>
      </c>
      <c r="E768" s="1"/>
      <c r="F768" s="1" t="s">
        <v>852</v>
      </c>
      <c r="G768" s="1">
        <v>415523</v>
      </c>
      <c r="H768" s="1">
        <v>2.25</v>
      </c>
    </row>
    <row r="769" spans="1:8" ht="21.75" customHeight="1">
      <c r="A769" s="1" t="str">
        <f>"1204920001890469"</f>
        <v>1204920001890469</v>
      </c>
      <c r="B769" s="1" t="s">
        <v>2945</v>
      </c>
      <c r="C769" s="1" t="s">
        <v>2946</v>
      </c>
      <c r="D769" s="1" t="s">
        <v>2947</v>
      </c>
      <c r="E769" s="1"/>
      <c r="F769" s="1" t="s">
        <v>852</v>
      </c>
      <c r="G769" s="1">
        <v>415523</v>
      </c>
      <c r="H769" s="1">
        <v>3</v>
      </c>
    </row>
    <row r="770" spans="1:8" ht="21.75" customHeight="1">
      <c r="A770" s="1" t="str">
        <f>"1204920002489404"</f>
        <v>1204920002489404</v>
      </c>
      <c r="B770" s="1" t="s">
        <v>2948</v>
      </c>
      <c r="C770" s="1" t="s">
        <v>2949</v>
      </c>
      <c r="D770" s="1" t="s">
        <v>852</v>
      </c>
      <c r="E770" s="1" t="s">
        <v>852</v>
      </c>
      <c r="F770" s="1" t="s">
        <v>852</v>
      </c>
      <c r="G770" s="1">
        <v>415523</v>
      </c>
      <c r="H770" s="1">
        <v>18.75</v>
      </c>
    </row>
    <row r="771" spans="1:8" ht="21.75" customHeight="1">
      <c r="A771" s="1" t="str">
        <f>"1203320016460484"</f>
        <v>1203320016460484</v>
      </c>
      <c r="B771" s="1" t="s">
        <v>2951</v>
      </c>
      <c r="C771" s="1" t="s">
        <v>2952</v>
      </c>
      <c r="D771" s="1" t="s">
        <v>2953</v>
      </c>
      <c r="E771" s="1" t="s">
        <v>2950</v>
      </c>
      <c r="F771" s="1" t="s">
        <v>2950</v>
      </c>
      <c r="G771" s="1">
        <v>416004</v>
      </c>
      <c r="H771" s="1">
        <v>120</v>
      </c>
    </row>
    <row r="772" spans="1:8" ht="21.75" customHeight="1">
      <c r="A772" s="1" t="str">
        <f>"1204720019186168"</f>
        <v>1204720019186168</v>
      </c>
      <c r="B772" s="1" t="s">
        <v>2954</v>
      </c>
      <c r="C772" s="1" t="s">
        <v>2955</v>
      </c>
      <c r="D772" s="1" t="s">
        <v>2956</v>
      </c>
      <c r="E772" s="1"/>
      <c r="F772" s="1" t="s">
        <v>2950</v>
      </c>
      <c r="G772" s="1">
        <v>416007</v>
      </c>
      <c r="H772" s="1">
        <v>3.75</v>
      </c>
    </row>
    <row r="773" spans="1:8" ht="21.75" customHeight="1">
      <c r="A773" s="1" t="str">
        <f>"1208160020381144"</f>
        <v>1208160020381144</v>
      </c>
      <c r="B773" s="1" t="s">
        <v>2957</v>
      </c>
      <c r="C773" s="1" t="s">
        <v>2958</v>
      </c>
      <c r="D773" s="1" t="s">
        <v>2959</v>
      </c>
      <c r="E773" s="1"/>
      <c r="F773" s="1" t="s">
        <v>2950</v>
      </c>
      <c r="G773" s="1">
        <v>416101</v>
      </c>
      <c r="H773" s="1">
        <v>2.25</v>
      </c>
    </row>
    <row r="774" spans="1:8" ht="21.75" customHeight="1">
      <c r="A774" s="1" t="str">
        <f>"1204920002198429"</f>
        <v>1204920002198429</v>
      </c>
      <c r="B774" s="1" t="s">
        <v>2961</v>
      </c>
      <c r="C774" s="1" t="s">
        <v>2962</v>
      </c>
      <c r="D774" s="1" t="s">
        <v>2963</v>
      </c>
      <c r="E774" s="1"/>
      <c r="F774" s="1" t="s">
        <v>2950</v>
      </c>
      <c r="G774" s="1">
        <v>416101</v>
      </c>
      <c r="H774" s="1">
        <v>6.75</v>
      </c>
    </row>
    <row r="775" spans="1:8" ht="21.75" customHeight="1">
      <c r="A775" s="1" t="str">
        <f>"1208160085267126"</f>
        <v>1208160085267126</v>
      </c>
      <c r="B775" s="1" t="s">
        <v>2964</v>
      </c>
      <c r="C775" s="1" t="s">
        <v>2965</v>
      </c>
      <c r="D775" s="1"/>
      <c r="E775" s="1"/>
      <c r="F775" s="1" t="s">
        <v>2950</v>
      </c>
      <c r="G775" s="1">
        <v>416111</v>
      </c>
      <c r="H775" s="1">
        <v>39</v>
      </c>
    </row>
    <row r="776" spans="1:8" ht="21.75" customHeight="1">
      <c r="A776" s="1" t="str">
        <f>"1203600004228401"</f>
        <v>1203600004228401</v>
      </c>
      <c r="B776" s="1" t="s">
        <v>2966</v>
      </c>
      <c r="C776" s="1" t="s">
        <v>2967</v>
      </c>
      <c r="D776" s="1" t="s">
        <v>2968</v>
      </c>
      <c r="E776" s="1" t="s">
        <v>2969</v>
      </c>
      <c r="F776" s="1" t="s">
        <v>2950</v>
      </c>
      <c r="G776" s="1">
        <v>416112</v>
      </c>
      <c r="H776" s="1">
        <v>0.75</v>
      </c>
    </row>
    <row r="777" spans="1:8" ht="21.75" customHeight="1">
      <c r="A777" s="1" t="str">
        <f>"1203320057354064"</f>
        <v>1203320057354064</v>
      </c>
      <c r="B777" s="1" t="s">
        <v>2970</v>
      </c>
      <c r="C777" s="1" t="s">
        <v>2971</v>
      </c>
      <c r="D777" s="1" t="s">
        <v>2972</v>
      </c>
      <c r="E777" s="1" t="s">
        <v>2972</v>
      </c>
      <c r="F777" s="1" t="s">
        <v>2950</v>
      </c>
      <c r="G777" s="1">
        <v>416205</v>
      </c>
      <c r="H777" s="1">
        <v>45</v>
      </c>
    </row>
    <row r="778" spans="1:8" ht="21.75" customHeight="1">
      <c r="A778" s="1" t="str">
        <f>"1208160056452131"</f>
        <v>1208160056452131</v>
      </c>
      <c r="B778" s="1" t="s">
        <v>2973</v>
      </c>
      <c r="C778" s="1" t="s">
        <v>2974</v>
      </c>
      <c r="D778" s="1" t="s">
        <v>2975</v>
      </c>
      <c r="E778" s="1"/>
      <c r="F778" s="1" t="s">
        <v>2950</v>
      </c>
      <c r="G778" s="1">
        <v>416211</v>
      </c>
      <c r="H778" s="1">
        <v>0.75</v>
      </c>
    </row>
    <row r="779" spans="1:8" ht="21.75" customHeight="1">
      <c r="A779" s="1" t="str">
        <f>"1208160084101471"</f>
        <v>1208160084101471</v>
      </c>
      <c r="B779" s="1" t="s">
        <v>2976</v>
      </c>
      <c r="C779" s="1" t="s">
        <v>2977</v>
      </c>
      <c r="D779" s="1"/>
      <c r="E779" s="1"/>
      <c r="F779" s="1" t="s">
        <v>2936</v>
      </c>
      <c r="G779" s="1">
        <v>416312</v>
      </c>
      <c r="H779" s="1">
        <v>1.5</v>
      </c>
    </row>
    <row r="780" spans="1:8" ht="21.75" customHeight="1">
      <c r="A780" s="1" t="str">
        <f>"1201091900056720"</f>
        <v>1201091900056720</v>
      </c>
      <c r="B780" s="1" t="s">
        <v>2978</v>
      </c>
      <c r="C780" s="1" t="s">
        <v>2979</v>
      </c>
      <c r="D780" s="1" t="s">
        <v>2980</v>
      </c>
      <c r="E780" s="1"/>
      <c r="F780" s="1" t="s">
        <v>2981</v>
      </c>
      <c r="G780" s="1">
        <v>416410</v>
      </c>
      <c r="H780" s="1">
        <v>15</v>
      </c>
    </row>
    <row r="781" spans="1:8" ht="21.75" customHeight="1">
      <c r="A781" s="1" t="str">
        <f>"IN30177412519732"</f>
        <v>IN30177412519732</v>
      </c>
      <c r="B781" s="1" t="s">
        <v>2982</v>
      </c>
      <c r="C781" s="1" t="s">
        <v>2983</v>
      </c>
      <c r="D781" s="1" t="s">
        <v>2984</v>
      </c>
      <c r="E781" s="1" t="s">
        <v>2985</v>
      </c>
      <c r="F781" s="1"/>
      <c r="G781" s="1">
        <v>416410</v>
      </c>
      <c r="H781" s="1">
        <v>172.5</v>
      </c>
    </row>
    <row r="782" spans="1:8" ht="21.75" customHeight="1">
      <c r="A782" s="1" t="str">
        <f>"IN30220111691430"</f>
        <v>IN30220111691430</v>
      </c>
      <c r="B782" s="1" t="s">
        <v>2986</v>
      </c>
      <c r="C782" s="1" t="s">
        <v>2987</v>
      </c>
      <c r="D782" s="1" t="s">
        <v>2988</v>
      </c>
      <c r="E782" s="1" t="s">
        <v>2989</v>
      </c>
      <c r="F782" s="1"/>
      <c r="G782" s="1">
        <v>416416</v>
      </c>
      <c r="H782" s="1">
        <v>28.5</v>
      </c>
    </row>
    <row r="783" spans="1:8" ht="21.75" customHeight="1">
      <c r="A783" s="1" t="str">
        <f>"1204470002423330"</f>
        <v>1204470002423330</v>
      </c>
      <c r="B783" s="1" t="s">
        <v>2990</v>
      </c>
      <c r="C783" s="1" t="s">
        <v>2991</v>
      </c>
      <c r="D783" s="1" t="s">
        <v>2992</v>
      </c>
      <c r="E783" s="1" t="s">
        <v>2993</v>
      </c>
      <c r="F783" s="1" t="s">
        <v>2993</v>
      </c>
      <c r="G783" s="1">
        <v>421004</v>
      </c>
      <c r="H783" s="1">
        <v>0.75</v>
      </c>
    </row>
    <row r="784" spans="1:8" ht="21.75" customHeight="1">
      <c r="A784" s="1" t="str">
        <f>"1208160082565499"</f>
        <v>1208160082565499</v>
      </c>
      <c r="B784" s="1" t="s">
        <v>2994</v>
      </c>
      <c r="C784" s="1" t="s">
        <v>2995</v>
      </c>
      <c r="D784" s="1" t="s">
        <v>2996</v>
      </c>
      <c r="E784" s="1"/>
      <c r="F784" s="1" t="s">
        <v>222</v>
      </c>
      <c r="G784" s="1">
        <v>421004</v>
      </c>
      <c r="H784" s="1">
        <v>0.75</v>
      </c>
    </row>
    <row r="785" spans="1:8" ht="21.75" customHeight="1">
      <c r="A785" s="1" t="str">
        <f>"1208870020246107"</f>
        <v>1208870020246107</v>
      </c>
      <c r="B785" s="1" t="s">
        <v>2997</v>
      </c>
      <c r="C785" s="1" t="s">
        <v>2998</v>
      </c>
      <c r="D785" s="1" t="s">
        <v>2999</v>
      </c>
      <c r="E785" s="1" t="s">
        <v>3000</v>
      </c>
      <c r="F785" s="1" t="s">
        <v>222</v>
      </c>
      <c r="G785" s="1">
        <v>421201</v>
      </c>
      <c r="H785" s="1">
        <v>124.5</v>
      </c>
    </row>
    <row r="786" spans="1:8" ht="21.75" customHeight="1">
      <c r="A786" s="1" t="str">
        <f>"1204470011916969"</f>
        <v>1204470011916969</v>
      </c>
      <c r="B786" s="1" t="s">
        <v>3001</v>
      </c>
      <c r="C786" s="1" t="s">
        <v>3002</v>
      </c>
      <c r="D786" s="1" t="s">
        <v>3003</v>
      </c>
      <c r="E786" s="1" t="s">
        <v>3004</v>
      </c>
      <c r="F786" s="1" t="s">
        <v>222</v>
      </c>
      <c r="G786" s="1">
        <v>421201</v>
      </c>
      <c r="H786" s="1">
        <v>0.75</v>
      </c>
    </row>
    <row r="787" spans="1:8" ht="21.75" customHeight="1">
      <c r="A787" s="1" t="str">
        <f>"IN30023912088188"</f>
        <v>IN30023912088188</v>
      </c>
      <c r="B787" s="1" t="s">
        <v>3005</v>
      </c>
      <c r="C787" s="1" t="s">
        <v>3006</v>
      </c>
      <c r="D787" s="1" t="s">
        <v>3007</v>
      </c>
      <c r="E787" s="1" t="s">
        <v>3008</v>
      </c>
      <c r="F787" s="1"/>
      <c r="G787" s="1">
        <v>421202</v>
      </c>
      <c r="H787" s="1">
        <v>45</v>
      </c>
    </row>
    <row r="788" spans="1:8" ht="21.75" customHeight="1">
      <c r="A788" s="1" t="str">
        <f>"IN30429525856744"</f>
        <v>IN30429525856744</v>
      </c>
      <c r="B788" s="1" t="s">
        <v>3009</v>
      </c>
      <c r="C788" s="1" t="s">
        <v>3010</v>
      </c>
      <c r="D788" s="1" t="s">
        <v>3011</v>
      </c>
      <c r="E788" s="1" t="s">
        <v>3012</v>
      </c>
      <c r="F788" s="1"/>
      <c r="G788" s="1">
        <v>421202</v>
      </c>
      <c r="H788" s="1">
        <v>37.5</v>
      </c>
    </row>
    <row r="789" spans="1:8" ht="21.75" customHeight="1">
      <c r="A789" s="1" t="str">
        <f>"1203320084261260"</f>
        <v>1203320084261260</v>
      </c>
      <c r="B789" s="1" t="s">
        <v>3013</v>
      </c>
      <c r="C789" s="1" t="s">
        <v>3014</v>
      </c>
      <c r="D789" s="1" t="s">
        <v>3015</v>
      </c>
      <c r="E789" s="1" t="s">
        <v>3016</v>
      </c>
      <c r="F789" s="1" t="s">
        <v>222</v>
      </c>
      <c r="G789" s="1">
        <v>421202</v>
      </c>
      <c r="H789" s="1">
        <v>0.75</v>
      </c>
    </row>
    <row r="790" spans="1:8" ht="21.75" customHeight="1">
      <c r="A790" s="1" t="str">
        <f>"1203320004621299"</f>
        <v>1203320004621299</v>
      </c>
      <c r="B790" s="1" t="s">
        <v>3017</v>
      </c>
      <c r="C790" s="1" t="s">
        <v>3018</v>
      </c>
      <c r="D790" s="1" t="s">
        <v>3019</v>
      </c>
      <c r="E790" s="1" t="s">
        <v>3020</v>
      </c>
      <c r="F790" s="1" t="s">
        <v>222</v>
      </c>
      <c r="G790" s="1">
        <v>421204</v>
      </c>
      <c r="H790" s="1">
        <v>45</v>
      </c>
    </row>
    <row r="791" spans="1:8" ht="21.75" customHeight="1">
      <c r="A791" s="1" t="str">
        <f>"IN30011811509791"</f>
        <v>IN30011811509791</v>
      </c>
      <c r="B791" s="1" t="s">
        <v>3021</v>
      </c>
      <c r="C791" s="1" t="s">
        <v>3022</v>
      </c>
      <c r="D791" s="1" t="s">
        <v>3023</v>
      </c>
      <c r="E791" s="1" t="s">
        <v>3024</v>
      </c>
      <c r="F791" s="1"/>
      <c r="G791" s="1">
        <v>421306</v>
      </c>
      <c r="H791" s="1">
        <v>75</v>
      </c>
    </row>
    <row r="792" spans="1:8" ht="21.75" customHeight="1">
      <c r="A792" s="1" t="str">
        <f>"1208870017822036"</f>
        <v>1208870017822036</v>
      </c>
      <c r="B792" s="1" t="s">
        <v>3025</v>
      </c>
      <c r="C792" s="1" t="s">
        <v>3026</v>
      </c>
      <c r="D792" s="1" t="s">
        <v>3027</v>
      </c>
      <c r="E792" s="1" t="s">
        <v>3028</v>
      </c>
      <c r="F792" s="1" t="s">
        <v>222</v>
      </c>
      <c r="G792" s="1">
        <v>421306</v>
      </c>
      <c r="H792" s="1">
        <v>7.5</v>
      </c>
    </row>
    <row r="793" spans="1:8" ht="21.75" customHeight="1">
      <c r="A793" s="1" t="str">
        <f>"1208160012309394"</f>
        <v>1208160012309394</v>
      </c>
      <c r="B793" s="1" t="s">
        <v>862</v>
      </c>
      <c r="C793" s="1" t="s">
        <v>3029</v>
      </c>
      <c r="D793" s="1" t="s">
        <v>3030</v>
      </c>
      <c r="E793" s="1" t="s">
        <v>3031</v>
      </c>
      <c r="F793" s="1" t="s">
        <v>3032</v>
      </c>
      <c r="G793" s="1">
        <v>421502</v>
      </c>
      <c r="H793" s="1">
        <v>7.5</v>
      </c>
    </row>
    <row r="794" spans="1:8" ht="21.75" customHeight="1">
      <c r="A794" s="1" t="str">
        <f>"1208180008302840"</f>
        <v>1208180008302840</v>
      </c>
      <c r="B794" s="1" t="s">
        <v>3034</v>
      </c>
      <c r="C794" s="1" t="s">
        <v>3035</v>
      </c>
      <c r="D794" s="1" t="s">
        <v>2472</v>
      </c>
      <c r="E794" s="1"/>
      <c r="F794" s="1" t="s">
        <v>3033</v>
      </c>
      <c r="G794" s="1">
        <v>422001</v>
      </c>
      <c r="H794" s="1">
        <v>364.5</v>
      </c>
    </row>
    <row r="795" spans="1:8" ht="21.75" customHeight="1">
      <c r="A795" s="1" t="str">
        <f>"1208360000654583"</f>
        <v>1208360000654583</v>
      </c>
      <c r="B795" s="1" t="s">
        <v>3036</v>
      </c>
      <c r="C795" s="1" t="s">
        <v>3037</v>
      </c>
      <c r="D795" s="1" t="s">
        <v>3038</v>
      </c>
      <c r="E795" s="1" t="s">
        <v>3033</v>
      </c>
      <c r="F795" s="1" t="s">
        <v>3033</v>
      </c>
      <c r="G795" s="1">
        <v>422002</v>
      </c>
      <c r="H795" s="1">
        <v>33.75</v>
      </c>
    </row>
    <row r="796" spans="1:8" ht="21.75" customHeight="1">
      <c r="A796" s="1" t="str">
        <f>"IN30429523403802"</f>
        <v>IN30429523403802</v>
      </c>
      <c r="B796" s="1" t="s">
        <v>3039</v>
      </c>
      <c r="C796" s="1" t="s">
        <v>3040</v>
      </c>
      <c r="D796" s="1" t="s">
        <v>3041</v>
      </c>
      <c r="E796" s="1" t="s">
        <v>3042</v>
      </c>
      <c r="F796" s="1"/>
      <c r="G796" s="1">
        <v>422002</v>
      </c>
      <c r="H796" s="1">
        <v>0.75</v>
      </c>
    </row>
    <row r="797" spans="1:8" ht="21.75" customHeight="1">
      <c r="A797" s="1" t="str">
        <f>"1202000000400548"</f>
        <v>1202000000400548</v>
      </c>
      <c r="B797" s="1" t="s">
        <v>3043</v>
      </c>
      <c r="C797" s="1" t="s">
        <v>3044</v>
      </c>
      <c r="D797" s="1" t="s">
        <v>3045</v>
      </c>
      <c r="E797" s="1" t="s">
        <v>3046</v>
      </c>
      <c r="F797" s="1" t="s">
        <v>3033</v>
      </c>
      <c r="G797" s="1">
        <v>422005</v>
      </c>
      <c r="H797" s="1">
        <v>75</v>
      </c>
    </row>
    <row r="798" spans="1:8" ht="21.75" customHeight="1">
      <c r="A798" s="1" t="str">
        <f>"1208160028166423"</f>
        <v>1208160028166423</v>
      </c>
      <c r="B798" s="1" t="s">
        <v>3047</v>
      </c>
      <c r="C798" s="1" t="s">
        <v>3048</v>
      </c>
      <c r="D798" s="1" t="s">
        <v>3049</v>
      </c>
      <c r="E798" s="1"/>
      <c r="F798" s="1" t="s">
        <v>3033</v>
      </c>
      <c r="G798" s="1">
        <v>422009</v>
      </c>
      <c r="H798" s="1">
        <v>2.25</v>
      </c>
    </row>
    <row r="799" spans="1:8" ht="21.75" customHeight="1">
      <c r="A799" s="1" t="str">
        <f>"1208160063361887"</f>
        <v>1208160063361887</v>
      </c>
      <c r="B799" s="1" t="s">
        <v>3050</v>
      </c>
      <c r="C799" s="1" t="s">
        <v>3051</v>
      </c>
      <c r="D799" s="1" t="s">
        <v>3052</v>
      </c>
      <c r="E799" s="1"/>
      <c r="F799" s="1" t="s">
        <v>3033</v>
      </c>
      <c r="G799" s="1">
        <v>422009</v>
      </c>
      <c r="H799" s="1">
        <v>1.5</v>
      </c>
    </row>
    <row r="800" spans="1:8" ht="21.75" customHeight="1">
      <c r="A800" s="1" t="str">
        <f>"1208160010839091"</f>
        <v>1208160010839091</v>
      </c>
      <c r="B800" s="1" t="s">
        <v>3053</v>
      </c>
      <c r="C800" s="1" t="s">
        <v>3054</v>
      </c>
      <c r="D800" s="1" t="s">
        <v>3055</v>
      </c>
      <c r="E800" s="1"/>
      <c r="F800" s="1" t="s">
        <v>3033</v>
      </c>
      <c r="G800" s="1">
        <v>422010</v>
      </c>
      <c r="H800" s="1">
        <v>7.5</v>
      </c>
    </row>
    <row r="801" spans="1:8" ht="21.75" customHeight="1">
      <c r="A801" s="1" t="str">
        <f>"1208160065409416"</f>
        <v>1208160065409416</v>
      </c>
      <c r="B801" s="1" t="s">
        <v>3056</v>
      </c>
      <c r="C801" s="1" t="s">
        <v>3057</v>
      </c>
      <c r="D801" s="1" t="s">
        <v>3058</v>
      </c>
      <c r="E801" s="1"/>
      <c r="F801" s="1" t="s">
        <v>3033</v>
      </c>
      <c r="G801" s="1">
        <v>422101</v>
      </c>
      <c r="H801" s="1">
        <v>0.75</v>
      </c>
    </row>
    <row r="802" spans="1:8" ht="21.75" customHeight="1">
      <c r="A802" s="1" t="str">
        <f>"1208180068016228"</f>
        <v>1208180068016228</v>
      </c>
      <c r="B802" s="1" t="s">
        <v>3059</v>
      </c>
      <c r="C802" s="1" t="s">
        <v>3060</v>
      </c>
      <c r="D802" s="1" t="s">
        <v>3061</v>
      </c>
      <c r="E802" s="1" t="s">
        <v>3062</v>
      </c>
      <c r="F802" s="1" t="s">
        <v>3033</v>
      </c>
      <c r="G802" s="1">
        <v>422101</v>
      </c>
      <c r="H802" s="1">
        <v>2.25</v>
      </c>
    </row>
    <row r="803" spans="1:8" ht="21.75" customHeight="1">
      <c r="A803" s="1" t="str">
        <f>"1208160030571677"</f>
        <v>1208160030571677</v>
      </c>
      <c r="B803" s="1" t="s">
        <v>3063</v>
      </c>
      <c r="C803" s="1" t="s">
        <v>3064</v>
      </c>
      <c r="D803" s="1" t="s">
        <v>3065</v>
      </c>
      <c r="E803" s="1"/>
      <c r="F803" s="1" t="s">
        <v>3033</v>
      </c>
      <c r="G803" s="1">
        <v>422101</v>
      </c>
      <c r="H803" s="1">
        <v>37.5</v>
      </c>
    </row>
    <row r="804" spans="1:8" ht="21.75" customHeight="1">
      <c r="A804" s="1" t="str">
        <f>"IN30114311465957"</f>
        <v>IN30114311465957</v>
      </c>
      <c r="B804" s="1" t="s">
        <v>3066</v>
      </c>
      <c r="C804" s="1" t="s">
        <v>3067</v>
      </c>
      <c r="D804" s="1" t="s">
        <v>3068</v>
      </c>
      <c r="E804" s="1" t="s">
        <v>3069</v>
      </c>
      <c r="F804" s="1"/>
      <c r="G804" s="1">
        <v>422403</v>
      </c>
      <c r="H804" s="1">
        <v>6.75</v>
      </c>
    </row>
    <row r="805" spans="1:8" ht="21.75" customHeight="1">
      <c r="A805" s="1" t="str">
        <f>"1208180003815840"</f>
        <v>1208180003815840</v>
      </c>
      <c r="B805" s="1" t="s">
        <v>3070</v>
      </c>
      <c r="C805" s="1" t="s">
        <v>3071</v>
      </c>
      <c r="D805" s="1" t="s">
        <v>3072</v>
      </c>
      <c r="E805" s="1"/>
      <c r="F805" s="1" t="s">
        <v>840</v>
      </c>
      <c r="G805" s="1">
        <v>422605</v>
      </c>
      <c r="H805" s="1">
        <v>11.25</v>
      </c>
    </row>
    <row r="806" spans="1:8" ht="21.75" customHeight="1">
      <c r="A806" s="1" t="str">
        <f>"1208160018749881"</f>
        <v>1208160018749881</v>
      </c>
      <c r="B806" s="1" t="s">
        <v>3074</v>
      </c>
      <c r="C806" s="1" t="s">
        <v>3075</v>
      </c>
      <c r="D806" s="1" t="s">
        <v>3076</v>
      </c>
      <c r="E806" s="1"/>
      <c r="F806" s="1" t="s">
        <v>3073</v>
      </c>
      <c r="G806" s="1">
        <v>424005</v>
      </c>
      <c r="H806" s="1">
        <v>23.25</v>
      </c>
    </row>
    <row r="807" spans="1:8" ht="21.75" customHeight="1">
      <c r="A807" s="1" t="str">
        <f>"1203320033381684"</f>
        <v>1203320033381684</v>
      </c>
      <c r="B807" s="1" t="s">
        <v>3077</v>
      </c>
      <c r="C807" s="1" t="s">
        <v>3078</v>
      </c>
      <c r="D807" s="1" t="s">
        <v>3079</v>
      </c>
      <c r="E807" s="1"/>
      <c r="F807" s="1" t="s">
        <v>249</v>
      </c>
      <c r="G807" s="1">
        <v>424101</v>
      </c>
      <c r="H807" s="1">
        <v>1.5</v>
      </c>
    </row>
    <row r="808" spans="1:8" ht="21.75" customHeight="1">
      <c r="A808" s="1" t="str">
        <f>"1208160071029075"</f>
        <v>1208160071029075</v>
      </c>
      <c r="B808" s="1" t="s">
        <v>3080</v>
      </c>
      <c r="C808" s="1" t="s">
        <v>3081</v>
      </c>
      <c r="D808" s="1" t="s">
        <v>3082</v>
      </c>
      <c r="E808" s="1"/>
      <c r="F808" s="1" t="s">
        <v>249</v>
      </c>
      <c r="G808" s="1">
        <v>424201</v>
      </c>
      <c r="H808" s="1">
        <v>42.75</v>
      </c>
    </row>
    <row r="809" spans="1:8" ht="21.75" customHeight="1">
      <c r="A809" s="1" t="str">
        <f>"IN30429519437199"</f>
        <v>IN30429519437199</v>
      </c>
      <c r="B809" s="1" t="s">
        <v>3083</v>
      </c>
      <c r="C809" s="1" t="s">
        <v>3084</v>
      </c>
      <c r="D809" s="1" t="s">
        <v>3085</v>
      </c>
      <c r="E809" s="1" t="s">
        <v>3086</v>
      </c>
      <c r="F809" s="1"/>
      <c r="G809" s="1">
        <v>425409</v>
      </c>
      <c r="H809" s="1">
        <v>7.5</v>
      </c>
    </row>
    <row r="810" spans="1:8" ht="21.75" customHeight="1">
      <c r="A810" s="1" t="str">
        <f>"1208870077690380"</f>
        <v>1208870077690380</v>
      </c>
      <c r="B810" s="1" t="s">
        <v>3087</v>
      </c>
      <c r="C810" s="1" t="s">
        <v>3088</v>
      </c>
      <c r="D810" s="1" t="s">
        <v>3089</v>
      </c>
      <c r="E810" s="1" t="s">
        <v>3090</v>
      </c>
      <c r="F810" s="1" t="s">
        <v>22</v>
      </c>
      <c r="G810" s="1">
        <v>431001</v>
      </c>
      <c r="H810" s="1">
        <v>23.25</v>
      </c>
    </row>
    <row r="811" spans="1:8" ht="21.75" customHeight="1">
      <c r="A811" s="1" t="str">
        <f>"1204470009711750"</f>
        <v>1204470009711750</v>
      </c>
      <c r="B811" s="1" t="s">
        <v>3091</v>
      </c>
      <c r="C811" s="1" t="s">
        <v>3092</v>
      </c>
      <c r="D811" s="1" t="s">
        <v>3093</v>
      </c>
      <c r="E811" s="1" t="s">
        <v>3094</v>
      </c>
      <c r="F811" s="1" t="s">
        <v>3095</v>
      </c>
      <c r="G811" s="1">
        <v>431001</v>
      </c>
      <c r="H811" s="1">
        <v>16.5</v>
      </c>
    </row>
    <row r="812" spans="1:8" ht="21.75" customHeight="1">
      <c r="A812" s="1" t="str">
        <f>"IN30023911839802"</f>
        <v>IN30023911839802</v>
      </c>
      <c r="B812" s="1" t="s">
        <v>3096</v>
      </c>
      <c r="C812" s="1" t="s">
        <v>3097</v>
      </c>
      <c r="D812" s="1" t="s">
        <v>3098</v>
      </c>
      <c r="E812" s="1" t="s">
        <v>3099</v>
      </c>
      <c r="F812" s="1"/>
      <c r="G812" s="1">
        <v>431001</v>
      </c>
      <c r="H812" s="1">
        <v>0.75</v>
      </c>
    </row>
    <row r="813" spans="1:8" ht="21.75" customHeight="1">
      <c r="A813" s="1" t="str">
        <f>"1208160025997155"</f>
        <v>1208160025997155</v>
      </c>
      <c r="B813" s="1" t="s">
        <v>3100</v>
      </c>
      <c r="C813" s="1" t="s">
        <v>3101</v>
      </c>
      <c r="D813" s="1" t="s">
        <v>3102</v>
      </c>
      <c r="E813" s="1" t="s">
        <v>3103</v>
      </c>
      <c r="F813" s="1" t="s">
        <v>3095</v>
      </c>
      <c r="G813" s="1">
        <v>431001</v>
      </c>
      <c r="H813" s="1">
        <v>187.5</v>
      </c>
    </row>
    <row r="814" spans="1:8" ht="21.75" customHeight="1">
      <c r="A814" s="1" t="str">
        <f>"1204470008944996"</f>
        <v>1204470008944996</v>
      </c>
      <c r="B814" s="1" t="s">
        <v>3104</v>
      </c>
      <c r="C814" s="1" t="s">
        <v>3105</v>
      </c>
      <c r="D814" s="1" t="s">
        <v>3106</v>
      </c>
      <c r="E814" s="1" t="s">
        <v>3107</v>
      </c>
      <c r="F814" s="1" t="s">
        <v>3095</v>
      </c>
      <c r="G814" s="1">
        <v>431001</v>
      </c>
      <c r="H814" s="1">
        <v>1.5</v>
      </c>
    </row>
    <row r="815" spans="1:8" ht="21.75" customHeight="1">
      <c r="A815" s="1" t="str">
        <f>"IN30112716036122"</f>
        <v>IN30112716036122</v>
      </c>
      <c r="B815" s="1" t="s">
        <v>3108</v>
      </c>
      <c r="C815" s="1" t="s">
        <v>3109</v>
      </c>
      <c r="D815" s="1" t="s">
        <v>3110</v>
      </c>
      <c r="E815" s="1" t="s">
        <v>3111</v>
      </c>
      <c r="F815" s="1"/>
      <c r="G815" s="1">
        <v>431005</v>
      </c>
      <c r="H815" s="1">
        <v>73.5</v>
      </c>
    </row>
    <row r="816" spans="1:8" ht="21.75" customHeight="1">
      <c r="A816" s="1" t="str">
        <f>"1208180030343335"</f>
        <v>1208180030343335</v>
      </c>
      <c r="B816" s="1" t="s">
        <v>3112</v>
      </c>
      <c r="C816" s="1" t="s">
        <v>3113</v>
      </c>
      <c r="D816" s="1" t="s">
        <v>3114</v>
      </c>
      <c r="E816" s="1"/>
      <c r="F816" s="1" t="s">
        <v>2904</v>
      </c>
      <c r="G816" s="1">
        <v>431122</v>
      </c>
      <c r="H816" s="1">
        <v>3.75</v>
      </c>
    </row>
    <row r="817" spans="1:8" ht="21.75" customHeight="1">
      <c r="A817" s="1" t="str">
        <f>"1208180028412834"</f>
        <v>1208180028412834</v>
      </c>
      <c r="B817" s="1" t="s">
        <v>3115</v>
      </c>
      <c r="C817" s="1" t="s">
        <v>3116</v>
      </c>
      <c r="D817" s="1"/>
      <c r="E817" s="1"/>
      <c r="F817" s="1" t="s">
        <v>27</v>
      </c>
      <c r="G817" s="1">
        <v>431211</v>
      </c>
      <c r="H817" s="1">
        <v>37.5</v>
      </c>
    </row>
    <row r="818" spans="1:8" ht="21.75" customHeight="1">
      <c r="A818" s="1" t="str">
        <f>"1204470018299037"</f>
        <v>1204470018299037</v>
      </c>
      <c r="B818" s="1" t="s">
        <v>3117</v>
      </c>
      <c r="C818" s="1" t="s">
        <v>3118</v>
      </c>
      <c r="D818" s="1" t="s">
        <v>3119</v>
      </c>
      <c r="E818" s="1"/>
      <c r="F818" s="1" t="s">
        <v>258</v>
      </c>
      <c r="G818" s="1">
        <v>431503</v>
      </c>
      <c r="H818" s="1">
        <v>3.75</v>
      </c>
    </row>
    <row r="819" spans="1:8" ht="21.75" customHeight="1">
      <c r="A819" s="1" t="str">
        <f>"1203320067466525"</f>
        <v>1203320067466525</v>
      </c>
      <c r="B819" s="1" t="s">
        <v>3120</v>
      </c>
      <c r="C819" s="1" t="s">
        <v>3121</v>
      </c>
      <c r="D819" s="1" t="s">
        <v>3122</v>
      </c>
      <c r="E819" s="1"/>
      <c r="F819" s="1" t="s">
        <v>258</v>
      </c>
      <c r="G819" s="1">
        <v>431512</v>
      </c>
      <c r="H819" s="1">
        <v>11.25</v>
      </c>
    </row>
    <row r="820" spans="1:8" ht="21.75" customHeight="1">
      <c r="A820" s="1" t="str">
        <f>"1203320057860182"</f>
        <v>1203320057860182</v>
      </c>
      <c r="B820" s="1" t="s">
        <v>3123</v>
      </c>
      <c r="C820" s="1" t="s">
        <v>3124</v>
      </c>
      <c r="D820" s="1" t="s">
        <v>3125</v>
      </c>
      <c r="E820" s="1" t="s">
        <v>3126</v>
      </c>
      <c r="F820" s="1" t="s">
        <v>866</v>
      </c>
      <c r="G820" s="1">
        <v>431601</v>
      </c>
      <c r="H820" s="1">
        <v>7.5</v>
      </c>
    </row>
    <row r="821" spans="1:8" ht="21.75" customHeight="1">
      <c r="A821" s="1" t="str">
        <f>"1208180048237031"</f>
        <v>1208180048237031</v>
      </c>
      <c r="B821" s="1" t="s">
        <v>3127</v>
      </c>
      <c r="C821" s="1" t="s">
        <v>3128</v>
      </c>
      <c r="D821" s="1"/>
      <c r="E821" s="1"/>
      <c r="F821" s="1" t="s">
        <v>866</v>
      </c>
      <c r="G821" s="1">
        <v>431714</v>
      </c>
      <c r="H821" s="1">
        <v>20.25</v>
      </c>
    </row>
    <row r="822" spans="1:8" ht="21.75" customHeight="1">
      <c r="A822" s="1" t="str">
        <f>"1208180024175204"</f>
        <v>1208180024175204</v>
      </c>
      <c r="B822" s="1" t="s">
        <v>3130</v>
      </c>
      <c r="C822" s="1" t="s">
        <v>3131</v>
      </c>
      <c r="D822" s="1" t="s">
        <v>3132</v>
      </c>
      <c r="E822" s="1"/>
      <c r="F822" s="1" t="s">
        <v>261</v>
      </c>
      <c r="G822" s="1">
        <v>440008</v>
      </c>
      <c r="H822" s="1">
        <v>9</v>
      </c>
    </row>
    <row r="823" spans="1:8" ht="21.75" customHeight="1">
      <c r="A823" s="1" t="str">
        <f>"1204720006252706"</f>
        <v>1204720006252706</v>
      </c>
      <c r="B823" s="1" t="s">
        <v>3133</v>
      </c>
      <c r="C823" s="1" t="s">
        <v>3134</v>
      </c>
      <c r="D823" s="1" t="s">
        <v>3135</v>
      </c>
      <c r="E823" s="1"/>
      <c r="F823" s="1" t="s">
        <v>261</v>
      </c>
      <c r="G823" s="1">
        <v>440013</v>
      </c>
      <c r="H823" s="1">
        <v>15</v>
      </c>
    </row>
    <row r="824" spans="1:8" ht="21.75" customHeight="1">
      <c r="A824" s="1" t="str">
        <f>"1202990005191243"</f>
        <v>1202990005191243</v>
      </c>
      <c r="B824" s="1" t="s">
        <v>3136</v>
      </c>
      <c r="C824" s="1" t="s">
        <v>3137</v>
      </c>
      <c r="D824" s="1" t="s">
        <v>3138</v>
      </c>
      <c r="E824" s="1"/>
      <c r="F824" s="1" t="s">
        <v>261</v>
      </c>
      <c r="G824" s="1">
        <v>440023</v>
      </c>
      <c r="H824" s="1">
        <v>54</v>
      </c>
    </row>
    <row r="825" spans="1:8" ht="21.75" customHeight="1">
      <c r="A825" s="1" t="str">
        <f>"1201580000656821"</f>
        <v>1201580000656821</v>
      </c>
      <c r="B825" s="1" t="s">
        <v>3139</v>
      </c>
      <c r="C825" s="1" t="s">
        <v>3140</v>
      </c>
      <c r="D825" s="1" t="s">
        <v>3141</v>
      </c>
      <c r="E825" s="1" t="s">
        <v>3142</v>
      </c>
      <c r="F825" s="1" t="s">
        <v>261</v>
      </c>
      <c r="G825" s="1">
        <v>440024</v>
      </c>
      <c r="H825" s="1">
        <v>37.5</v>
      </c>
    </row>
    <row r="826" spans="1:8" ht="21.75" customHeight="1">
      <c r="A826" s="1" t="str">
        <f>"IN30302892520907"</f>
        <v>IN30302892520907</v>
      </c>
      <c r="B826" s="1" t="s">
        <v>3143</v>
      </c>
      <c r="C826" s="1" t="s">
        <v>3144</v>
      </c>
      <c r="D826" s="1" t="s">
        <v>3145</v>
      </c>
      <c r="E826" s="1" t="s">
        <v>3146</v>
      </c>
      <c r="F826" s="1"/>
      <c r="G826" s="1">
        <v>441601</v>
      </c>
      <c r="H826" s="1">
        <v>15</v>
      </c>
    </row>
    <row r="827" spans="1:8" ht="21.75" customHeight="1">
      <c r="A827" s="1" t="str">
        <f>"1203320008974411"</f>
        <v>1203320008974411</v>
      </c>
      <c r="B827" s="1" t="s">
        <v>3148</v>
      </c>
      <c r="C827" s="1" t="s">
        <v>3149</v>
      </c>
      <c r="D827" s="1" t="s">
        <v>3150</v>
      </c>
      <c r="E827" s="1"/>
      <c r="F827" s="1" t="s">
        <v>3147</v>
      </c>
      <c r="G827" s="1">
        <v>441904</v>
      </c>
      <c r="H827" s="1">
        <v>45</v>
      </c>
    </row>
    <row r="828" spans="1:8" ht="21.75" customHeight="1">
      <c r="A828" s="1" t="str">
        <f>"1208180018759860"</f>
        <v>1208180018759860</v>
      </c>
      <c r="B828" s="1" t="s">
        <v>3152</v>
      </c>
      <c r="C828" s="1" t="s">
        <v>3153</v>
      </c>
      <c r="D828" s="1" t="s">
        <v>3154</v>
      </c>
      <c r="E828" s="1"/>
      <c r="F828" s="1" t="s">
        <v>3151</v>
      </c>
      <c r="G828" s="1">
        <v>442301</v>
      </c>
      <c r="H828" s="1">
        <v>15</v>
      </c>
    </row>
    <row r="829" spans="1:8" ht="21.75" customHeight="1">
      <c r="A829" s="1" t="str">
        <f>"1201910104281171"</f>
        <v>1201910104281171</v>
      </c>
      <c r="B829" s="1" t="s">
        <v>3155</v>
      </c>
      <c r="C829" s="1" t="s">
        <v>3156</v>
      </c>
      <c r="D829" s="1" t="s">
        <v>3157</v>
      </c>
      <c r="E829" s="1" t="s">
        <v>3158</v>
      </c>
      <c r="F829" s="1" t="s">
        <v>3151</v>
      </c>
      <c r="G829" s="1">
        <v>442302</v>
      </c>
      <c r="H829" s="1">
        <v>37.5</v>
      </c>
    </row>
    <row r="830" spans="1:8" ht="21.75" customHeight="1">
      <c r="A830" s="1" t="str">
        <f>"1208160071273659"</f>
        <v>1208160071273659</v>
      </c>
      <c r="B830" s="1" t="s">
        <v>3160</v>
      </c>
      <c r="C830" s="1" t="s">
        <v>3161</v>
      </c>
      <c r="D830" s="1" t="s">
        <v>3162</v>
      </c>
      <c r="E830" s="1" t="s">
        <v>3163</v>
      </c>
      <c r="F830" s="1" t="s">
        <v>3159</v>
      </c>
      <c r="G830" s="1">
        <v>442707</v>
      </c>
      <c r="H830" s="1">
        <v>6.75</v>
      </c>
    </row>
    <row r="831" spans="1:8" ht="21.75" customHeight="1">
      <c r="A831" s="1" t="str">
        <f>"1201090015940392"</f>
        <v>1201090015940392</v>
      </c>
      <c r="B831" s="1" t="s">
        <v>3164</v>
      </c>
      <c r="C831" s="1" t="s">
        <v>3165</v>
      </c>
      <c r="D831" s="1" t="s">
        <v>3166</v>
      </c>
      <c r="E831" s="1"/>
      <c r="F831" s="1" t="s">
        <v>2846</v>
      </c>
      <c r="G831" s="1">
        <v>442907</v>
      </c>
      <c r="H831" s="1">
        <v>4.5</v>
      </c>
    </row>
    <row r="832" spans="1:8" ht="21.75" customHeight="1">
      <c r="A832" s="1" t="str">
        <f>"IN30429519010354"</f>
        <v>IN30429519010354</v>
      </c>
      <c r="B832" s="1" t="s">
        <v>3167</v>
      </c>
      <c r="C832" s="1" t="s">
        <v>3168</v>
      </c>
      <c r="D832" s="1" t="s">
        <v>3169</v>
      </c>
      <c r="E832" s="1" t="s">
        <v>3170</v>
      </c>
      <c r="F832" s="1"/>
      <c r="G832" s="1">
        <v>443001</v>
      </c>
      <c r="H832" s="1">
        <v>3.75</v>
      </c>
    </row>
    <row r="833" spans="1:8" ht="21.75" customHeight="1">
      <c r="A833" s="1" t="str">
        <f>"1203230002314037"</f>
        <v>1203230002314037</v>
      </c>
      <c r="B833" s="1" t="s">
        <v>3171</v>
      </c>
      <c r="C833" s="1" t="s">
        <v>3172</v>
      </c>
      <c r="D833" s="1" t="s">
        <v>3173</v>
      </c>
      <c r="E833" s="1" t="s">
        <v>3174</v>
      </c>
      <c r="F833" s="1" t="s">
        <v>3175</v>
      </c>
      <c r="G833" s="1">
        <v>443101</v>
      </c>
      <c r="H833" s="1">
        <v>18.75</v>
      </c>
    </row>
    <row r="834" spans="1:8" ht="21.75" customHeight="1">
      <c r="A834" s="1" t="str">
        <f>"1208870011012545"</f>
        <v>1208870011012545</v>
      </c>
      <c r="B834" s="1" t="s">
        <v>3177</v>
      </c>
      <c r="C834" s="1" t="s">
        <v>3178</v>
      </c>
      <c r="D834" s="1" t="s">
        <v>3179</v>
      </c>
      <c r="E834" s="1" t="s">
        <v>410</v>
      </c>
      <c r="F834" s="1" t="s">
        <v>3176</v>
      </c>
      <c r="G834" s="1">
        <v>444503</v>
      </c>
      <c r="H834" s="1">
        <v>15</v>
      </c>
    </row>
    <row r="835" spans="1:8" ht="21.75" customHeight="1">
      <c r="A835" s="1" t="str">
        <f>"IN30177414624174"</f>
        <v>IN30177414624174</v>
      </c>
      <c r="B835" s="1" t="s">
        <v>3180</v>
      </c>
      <c r="C835" s="1" t="s">
        <v>3181</v>
      </c>
      <c r="D835" s="1" t="s">
        <v>3182</v>
      </c>
      <c r="E835" s="1" t="s">
        <v>3183</v>
      </c>
      <c r="F835" s="1"/>
      <c r="G835" s="1">
        <v>444601</v>
      </c>
      <c r="H835" s="1">
        <v>75</v>
      </c>
    </row>
    <row r="836" spans="1:8" ht="21.75" customHeight="1">
      <c r="A836" s="1" t="str">
        <f>"1202840000029729"</f>
        <v>1202840000029729</v>
      </c>
      <c r="B836" s="1" t="s">
        <v>3184</v>
      </c>
      <c r="C836" s="1" t="s">
        <v>3185</v>
      </c>
      <c r="D836" s="1" t="s">
        <v>3186</v>
      </c>
      <c r="E836" s="1" t="s">
        <v>3183</v>
      </c>
      <c r="F836" s="1" t="s">
        <v>3183</v>
      </c>
      <c r="G836" s="1">
        <v>444605</v>
      </c>
      <c r="H836" s="1">
        <v>3.75</v>
      </c>
    </row>
    <row r="837" spans="1:8" ht="21.75" customHeight="1">
      <c r="A837" s="1" t="str">
        <f>"IN30177416159216"</f>
        <v>IN30177416159216</v>
      </c>
      <c r="B837" s="1" t="s">
        <v>3187</v>
      </c>
      <c r="C837" s="1" t="s">
        <v>3188</v>
      </c>
      <c r="D837" s="1" t="s">
        <v>3189</v>
      </c>
      <c r="E837" s="1" t="s">
        <v>3190</v>
      </c>
      <c r="F837" s="1"/>
      <c r="G837" s="1">
        <v>444605</v>
      </c>
      <c r="H837" s="1">
        <v>187.5</v>
      </c>
    </row>
    <row r="838" spans="1:8" ht="21.75" customHeight="1">
      <c r="A838" s="1" t="str">
        <f>"1208180065050780"</f>
        <v>1208180065050780</v>
      </c>
      <c r="B838" s="1" t="s">
        <v>3191</v>
      </c>
      <c r="C838" s="1" t="s">
        <v>3192</v>
      </c>
      <c r="D838" s="1" t="s">
        <v>3193</v>
      </c>
      <c r="E838" s="1" t="s">
        <v>3194</v>
      </c>
      <c r="F838" s="1" t="s">
        <v>3183</v>
      </c>
      <c r="G838" s="1">
        <v>444705</v>
      </c>
      <c r="H838" s="1">
        <v>4.5</v>
      </c>
    </row>
    <row r="839" spans="1:8" ht="21.75" customHeight="1">
      <c r="A839" s="1" t="str">
        <f>"1208870024886612"</f>
        <v>1208870024886612</v>
      </c>
      <c r="B839" s="1" t="s">
        <v>3195</v>
      </c>
      <c r="C839" s="1" t="s">
        <v>3196</v>
      </c>
      <c r="D839" s="1" t="s">
        <v>3197</v>
      </c>
      <c r="E839" s="1" t="s">
        <v>410</v>
      </c>
      <c r="F839" s="1" t="s">
        <v>3183</v>
      </c>
      <c r="G839" s="1">
        <v>444905</v>
      </c>
      <c r="H839" s="1">
        <v>20.25</v>
      </c>
    </row>
    <row r="840" spans="1:8" ht="21.75" customHeight="1">
      <c r="A840" s="1" t="str">
        <f>"1208870005219431"</f>
        <v>1208870005219431</v>
      </c>
      <c r="B840" s="1" t="s">
        <v>3199</v>
      </c>
      <c r="C840" s="1" t="s">
        <v>3200</v>
      </c>
      <c r="D840" s="1" t="s">
        <v>3201</v>
      </c>
      <c r="E840" s="1" t="s">
        <v>3198</v>
      </c>
      <c r="F840" s="1" t="s">
        <v>3198</v>
      </c>
      <c r="G840" s="1">
        <v>450445</v>
      </c>
      <c r="H840" s="1">
        <v>0.75</v>
      </c>
    </row>
    <row r="841" spans="1:8" ht="21.75" customHeight="1">
      <c r="A841" s="1" t="str">
        <f>"1204370000574742"</f>
        <v>1204370000574742</v>
      </c>
      <c r="B841" s="1" t="s">
        <v>3202</v>
      </c>
      <c r="C841" s="1" t="s">
        <v>3203</v>
      </c>
      <c r="D841" s="1" t="s">
        <v>3204</v>
      </c>
      <c r="E841" s="1" t="s">
        <v>3205</v>
      </c>
      <c r="F841" s="1" t="s">
        <v>883</v>
      </c>
      <c r="G841" s="1">
        <v>452009</v>
      </c>
      <c r="H841" s="1">
        <v>75</v>
      </c>
    </row>
    <row r="842" spans="1:8" ht="21.75" customHeight="1">
      <c r="A842" s="1" t="str">
        <f>"IN30051319163546"</f>
        <v>IN30051319163546</v>
      </c>
      <c r="B842" s="1" t="s">
        <v>3206</v>
      </c>
      <c r="C842" s="1" t="s">
        <v>3207</v>
      </c>
      <c r="D842" s="1" t="s">
        <v>883</v>
      </c>
      <c r="E842" s="1" t="s">
        <v>269</v>
      </c>
      <c r="F842" s="1"/>
      <c r="G842" s="1">
        <v>452009</v>
      </c>
      <c r="H842" s="1">
        <v>67</v>
      </c>
    </row>
    <row r="843" spans="1:8" ht="21.75" customHeight="1">
      <c r="A843" s="1" t="str">
        <f>"IN30429522747559"</f>
        <v>IN30429522747559</v>
      </c>
      <c r="B843" s="1" t="s">
        <v>3208</v>
      </c>
      <c r="C843" s="1" t="s">
        <v>3209</v>
      </c>
      <c r="D843" s="1" t="s">
        <v>3210</v>
      </c>
      <c r="E843" s="1" t="s">
        <v>3211</v>
      </c>
      <c r="F843" s="1"/>
      <c r="G843" s="1">
        <v>452012</v>
      </c>
      <c r="H843" s="1">
        <v>3.75</v>
      </c>
    </row>
    <row r="844" spans="1:8" ht="21.75" customHeight="1">
      <c r="A844" s="1" t="str">
        <f>"1203320030865501"</f>
        <v>1203320030865501</v>
      </c>
      <c r="B844" s="1" t="s">
        <v>3213</v>
      </c>
      <c r="C844" s="1" t="s">
        <v>3214</v>
      </c>
      <c r="D844" s="1" t="s">
        <v>3215</v>
      </c>
      <c r="E844" s="1" t="s">
        <v>3216</v>
      </c>
      <c r="F844" s="1" t="s">
        <v>3212</v>
      </c>
      <c r="G844" s="1">
        <v>455001</v>
      </c>
      <c r="H844" s="1">
        <v>75</v>
      </c>
    </row>
    <row r="845" spans="1:8" ht="21.75" customHeight="1">
      <c r="A845" s="1" t="str">
        <f>"1203460000423709"</f>
        <v>1203460000423709</v>
      </c>
      <c r="B845" s="1" t="s">
        <v>3217</v>
      </c>
      <c r="C845" s="1" t="s">
        <v>3218</v>
      </c>
      <c r="D845" s="1" t="s">
        <v>3219</v>
      </c>
      <c r="E845" s="1"/>
      <c r="F845" s="1" t="s">
        <v>266</v>
      </c>
      <c r="G845" s="1">
        <v>456001</v>
      </c>
      <c r="H845" s="1">
        <v>75</v>
      </c>
    </row>
    <row r="846" spans="1:8" ht="21.75" customHeight="1">
      <c r="A846" s="1" t="str">
        <f>"1208870024097226"</f>
        <v>1208870024097226</v>
      </c>
      <c r="B846" s="1" t="s">
        <v>3220</v>
      </c>
      <c r="C846" s="1" t="s">
        <v>3221</v>
      </c>
      <c r="D846" s="1" t="s">
        <v>3222</v>
      </c>
      <c r="E846" s="1" t="s">
        <v>410</v>
      </c>
      <c r="F846" s="1" t="s">
        <v>266</v>
      </c>
      <c r="G846" s="1">
        <v>456010</v>
      </c>
      <c r="H846" s="1">
        <v>0.75</v>
      </c>
    </row>
    <row r="847" spans="1:8" ht="21.75" customHeight="1">
      <c r="A847" s="1" t="str">
        <f>"IN30051382562833"</f>
        <v>IN30051382562833</v>
      </c>
      <c r="B847" s="1" t="s">
        <v>3223</v>
      </c>
      <c r="C847" s="1" t="s">
        <v>3224</v>
      </c>
      <c r="D847" s="1" t="s">
        <v>3225</v>
      </c>
      <c r="E847" s="1" t="s">
        <v>3226</v>
      </c>
      <c r="F847" s="1"/>
      <c r="G847" s="1">
        <v>458664</v>
      </c>
      <c r="H847" s="1">
        <v>80.25</v>
      </c>
    </row>
    <row r="848" spans="1:8" ht="21.75" customHeight="1">
      <c r="A848" s="1" t="str">
        <f>"1208180008643538"</f>
        <v>1208180008643538</v>
      </c>
      <c r="B848" s="1" t="s">
        <v>3228</v>
      </c>
      <c r="C848" s="1" t="s">
        <v>3229</v>
      </c>
      <c r="D848" s="1" t="s">
        <v>3230</v>
      </c>
      <c r="E848" s="1"/>
      <c r="F848" s="1" t="s">
        <v>3227</v>
      </c>
      <c r="G848" s="1">
        <v>461331</v>
      </c>
      <c r="H848" s="1">
        <v>11.25</v>
      </c>
    </row>
    <row r="849" spans="1:8" ht="21.75" customHeight="1">
      <c r="A849" s="1" t="str">
        <f>"1208860001735563"</f>
        <v>1208860001735563</v>
      </c>
      <c r="B849" s="1" t="s">
        <v>3232</v>
      </c>
      <c r="C849" s="1" t="s">
        <v>3233</v>
      </c>
      <c r="D849" s="1" t="s">
        <v>3234</v>
      </c>
      <c r="E849" s="1"/>
      <c r="F849" s="1" t="s">
        <v>3231</v>
      </c>
      <c r="G849" s="1">
        <v>462001</v>
      </c>
      <c r="H849" s="1">
        <v>0.75</v>
      </c>
    </row>
    <row r="850" spans="1:8" ht="21.75" customHeight="1">
      <c r="A850" s="1" t="str">
        <f>"1208870012072936"</f>
        <v>1208870012072936</v>
      </c>
      <c r="B850" s="1" t="s">
        <v>3235</v>
      </c>
      <c r="C850" s="1" t="s">
        <v>3236</v>
      </c>
      <c r="D850" s="1" t="s">
        <v>410</v>
      </c>
      <c r="E850" s="1" t="s">
        <v>410</v>
      </c>
      <c r="F850" s="1" t="s">
        <v>3231</v>
      </c>
      <c r="G850" s="1">
        <v>462001</v>
      </c>
      <c r="H850" s="1">
        <v>17.25</v>
      </c>
    </row>
    <row r="851" spans="1:8" ht="21.75" customHeight="1">
      <c r="A851" s="1" t="str">
        <f>"1208180006648778"</f>
        <v>1208180006648778</v>
      </c>
      <c r="B851" s="1" t="s">
        <v>3238</v>
      </c>
      <c r="C851" s="1" t="s">
        <v>3239</v>
      </c>
      <c r="D851" s="1" t="s">
        <v>3240</v>
      </c>
      <c r="E851" s="1"/>
      <c r="F851" s="1" t="s">
        <v>3231</v>
      </c>
      <c r="G851" s="1">
        <v>462038</v>
      </c>
      <c r="H851" s="1">
        <v>0.75</v>
      </c>
    </row>
    <row r="852" spans="1:8" ht="21.75" customHeight="1">
      <c r="A852" s="1" t="str">
        <f>"1201090006363092"</f>
        <v>1201090006363092</v>
      </c>
      <c r="B852" s="1" t="s">
        <v>3242</v>
      </c>
      <c r="C852" s="1" t="s">
        <v>3243</v>
      </c>
      <c r="D852" s="1" t="s">
        <v>3244</v>
      </c>
      <c r="E852" s="1"/>
      <c r="F852" s="1" t="s">
        <v>3241</v>
      </c>
      <c r="G852" s="1">
        <v>471001</v>
      </c>
      <c r="H852" s="1">
        <v>7.5</v>
      </c>
    </row>
    <row r="853" spans="1:8" ht="21.75" customHeight="1">
      <c r="A853" s="1" t="str">
        <f>"1206970000013798"</f>
        <v>1206970000013798</v>
      </c>
      <c r="B853" s="1" t="s">
        <v>3245</v>
      </c>
      <c r="C853" s="1" t="s">
        <v>3246</v>
      </c>
      <c r="D853" s="1" t="s">
        <v>3247</v>
      </c>
      <c r="E853" s="1" t="s">
        <v>3241</v>
      </c>
      <c r="F853" s="1" t="s">
        <v>3241</v>
      </c>
      <c r="G853" s="1">
        <v>471001</v>
      </c>
      <c r="H853" s="1">
        <v>37.5</v>
      </c>
    </row>
    <row r="854" spans="1:8" ht="21.75" customHeight="1">
      <c r="A854" s="1" t="str">
        <f>"1208870003337909"</f>
        <v>1208870003337909</v>
      </c>
      <c r="B854" s="1" t="s">
        <v>3249</v>
      </c>
      <c r="C854" s="1" t="s">
        <v>3250</v>
      </c>
      <c r="D854" s="1" t="s">
        <v>3251</v>
      </c>
      <c r="E854" s="1" t="s">
        <v>410</v>
      </c>
      <c r="F854" s="1" t="s">
        <v>3248</v>
      </c>
      <c r="G854" s="1">
        <v>473001</v>
      </c>
      <c r="H854" s="1">
        <v>0.75</v>
      </c>
    </row>
    <row r="855" spans="1:8" ht="21.75" customHeight="1">
      <c r="A855" s="1" t="str">
        <f>"1208160057448232"</f>
        <v>1208160057448232</v>
      </c>
      <c r="B855" s="1" t="s">
        <v>3252</v>
      </c>
      <c r="C855" s="1" t="s">
        <v>3253</v>
      </c>
      <c r="D855" s="1"/>
      <c r="E855" s="1"/>
      <c r="F855" s="1" t="s">
        <v>728</v>
      </c>
      <c r="G855" s="1">
        <v>474002</v>
      </c>
      <c r="H855" s="1">
        <v>3.75</v>
      </c>
    </row>
    <row r="856" spans="1:8" ht="21.75" customHeight="1">
      <c r="A856" s="1" t="str">
        <f>"IN30429523600197"</f>
        <v>IN30429523600197</v>
      </c>
      <c r="B856" s="1" t="s">
        <v>3254</v>
      </c>
      <c r="C856" s="1" t="s">
        <v>3255</v>
      </c>
      <c r="D856" s="1" t="s">
        <v>3256</v>
      </c>
      <c r="E856" s="1" t="s">
        <v>3257</v>
      </c>
      <c r="F856" s="1"/>
      <c r="G856" s="1">
        <v>474003</v>
      </c>
      <c r="H856" s="1">
        <v>8.25</v>
      </c>
    </row>
    <row r="857" spans="1:8" ht="21.75" customHeight="1">
      <c r="A857" s="1" t="str">
        <f>"1208160008348651"</f>
        <v>1208160008348651</v>
      </c>
      <c r="B857" s="1" t="s">
        <v>3258</v>
      </c>
      <c r="C857" s="1" t="s">
        <v>3259</v>
      </c>
      <c r="D857" s="1"/>
      <c r="E857" s="1"/>
      <c r="F857" s="1" t="s">
        <v>728</v>
      </c>
      <c r="G857" s="1">
        <v>474006</v>
      </c>
      <c r="H857" s="1">
        <v>11.25</v>
      </c>
    </row>
    <row r="858" spans="1:8" ht="21.75" customHeight="1">
      <c r="A858" s="1" t="str">
        <f>"IN30226913225356"</f>
        <v>IN30226913225356</v>
      </c>
      <c r="B858" s="1" t="s">
        <v>3260</v>
      </c>
      <c r="C858" s="1" t="s">
        <v>3261</v>
      </c>
      <c r="D858" s="1" t="s">
        <v>3262</v>
      </c>
      <c r="E858" s="1" t="s">
        <v>3263</v>
      </c>
      <c r="F858" s="1"/>
      <c r="G858" s="1">
        <v>474006</v>
      </c>
      <c r="H858" s="1">
        <v>2849.25</v>
      </c>
    </row>
    <row r="859" spans="1:8" ht="21.75" customHeight="1">
      <c r="A859" s="1" t="str">
        <f>"1208870003482379"</f>
        <v>1208870003482379</v>
      </c>
      <c r="B859" s="1" t="s">
        <v>3264</v>
      </c>
      <c r="C859" s="1" t="s">
        <v>3265</v>
      </c>
      <c r="D859" s="1" t="s">
        <v>3266</v>
      </c>
      <c r="E859" s="1" t="s">
        <v>3267</v>
      </c>
      <c r="F859" s="1" t="s">
        <v>728</v>
      </c>
      <c r="G859" s="1">
        <v>474011</v>
      </c>
      <c r="H859" s="1">
        <v>3.75</v>
      </c>
    </row>
    <row r="860" spans="1:8" ht="21.75" customHeight="1">
      <c r="A860" s="1" t="str">
        <f>"1208870014291753"</f>
        <v>1208870014291753</v>
      </c>
      <c r="B860" s="1" t="s">
        <v>3268</v>
      </c>
      <c r="C860" s="1" t="s">
        <v>3269</v>
      </c>
      <c r="D860" s="1" t="s">
        <v>3270</v>
      </c>
      <c r="E860" s="1" t="s">
        <v>3271</v>
      </c>
      <c r="F860" s="1" t="s">
        <v>3237</v>
      </c>
      <c r="G860" s="1">
        <v>476001</v>
      </c>
      <c r="H860" s="1">
        <v>22.5</v>
      </c>
    </row>
    <row r="861" spans="1:8" ht="21.75" customHeight="1">
      <c r="A861" s="1" t="str">
        <f>"1208180041544913"</f>
        <v>1208180041544913</v>
      </c>
      <c r="B861" s="1" t="s">
        <v>3272</v>
      </c>
      <c r="C861" s="1" t="s">
        <v>3273</v>
      </c>
      <c r="D861" s="1" t="s">
        <v>3274</v>
      </c>
      <c r="E861" s="1"/>
      <c r="F861" s="1" t="s">
        <v>3237</v>
      </c>
      <c r="G861" s="1">
        <v>476111</v>
      </c>
      <c r="H861" s="1">
        <v>7.5</v>
      </c>
    </row>
    <row r="862" spans="1:8" ht="21.75" customHeight="1">
      <c r="A862" s="1" t="str">
        <f>"1208160093056095"</f>
        <v>1208160093056095</v>
      </c>
      <c r="B862" s="1" t="s">
        <v>3275</v>
      </c>
      <c r="C862" s="1" t="s">
        <v>3276</v>
      </c>
      <c r="D862" s="1"/>
      <c r="E862" s="1"/>
      <c r="F862" s="1" t="s">
        <v>3237</v>
      </c>
      <c r="G862" s="1">
        <v>476115</v>
      </c>
      <c r="H862" s="1">
        <v>36.75</v>
      </c>
    </row>
    <row r="863" spans="1:8" ht="21.75" customHeight="1">
      <c r="A863" s="1" t="str">
        <f>"1208870001372282"</f>
        <v>1208870001372282</v>
      </c>
      <c r="B863" s="1" t="s">
        <v>3278</v>
      </c>
      <c r="C863" s="1" t="s">
        <v>3279</v>
      </c>
      <c r="D863" s="1" t="s">
        <v>3280</v>
      </c>
      <c r="E863" s="1" t="s">
        <v>410</v>
      </c>
      <c r="F863" s="1" t="s">
        <v>3277</v>
      </c>
      <c r="G863" s="1">
        <v>477001</v>
      </c>
      <c r="H863" s="1">
        <v>1.5</v>
      </c>
    </row>
    <row r="864" spans="1:8" ht="21.75" customHeight="1">
      <c r="A864" s="1" t="str">
        <f>"1208180009037490"</f>
        <v>1208180009037490</v>
      </c>
      <c r="B864" s="1" t="s">
        <v>3282</v>
      </c>
      <c r="C864" s="1" t="s">
        <v>3283</v>
      </c>
      <c r="D864" s="1" t="s">
        <v>3284</v>
      </c>
      <c r="E864" s="1" t="s">
        <v>3281</v>
      </c>
      <c r="F864" s="1" t="s">
        <v>3281</v>
      </c>
      <c r="G864" s="1">
        <v>480334</v>
      </c>
      <c r="H864" s="1">
        <v>52.5</v>
      </c>
    </row>
    <row r="865" spans="1:8" ht="21.75" customHeight="1">
      <c r="A865" s="1" t="str">
        <f>"IN30429524117409"</f>
        <v>IN30429524117409</v>
      </c>
      <c r="B865" s="1" t="s">
        <v>3285</v>
      </c>
      <c r="C865" s="1" t="s">
        <v>3286</v>
      </c>
      <c r="D865" s="1" t="s">
        <v>3287</v>
      </c>
      <c r="E865" s="1" t="s">
        <v>3288</v>
      </c>
      <c r="F865" s="1"/>
      <c r="G865" s="1">
        <v>482001</v>
      </c>
      <c r="H865" s="1">
        <v>37.5</v>
      </c>
    </row>
    <row r="866" spans="1:8" ht="21.75" customHeight="1">
      <c r="A866" s="1" t="str">
        <f>"1203320030443511"</f>
        <v>1203320030443511</v>
      </c>
      <c r="B866" s="1" t="s">
        <v>3289</v>
      </c>
      <c r="C866" s="1" t="s">
        <v>3290</v>
      </c>
      <c r="D866" s="1" t="s">
        <v>3291</v>
      </c>
      <c r="E866" s="1" t="s">
        <v>3292</v>
      </c>
      <c r="F866" s="1" t="s">
        <v>1649</v>
      </c>
      <c r="G866" s="1">
        <v>482008</v>
      </c>
      <c r="H866" s="1">
        <v>7.5</v>
      </c>
    </row>
    <row r="867" spans="1:8" ht="21.75" customHeight="1">
      <c r="A867" s="1" t="str">
        <f>"IN30429525459143"</f>
        <v>IN30429525459143</v>
      </c>
      <c r="B867" s="1" t="s">
        <v>3293</v>
      </c>
      <c r="C867" s="1" t="s">
        <v>3294</v>
      </c>
      <c r="D867" s="1" t="s">
        <v>3295</v>
      </c>
      <c r="E867" s="1" t="s">
        <v>3296</v>
      </c>
      <c r="F867" s="1"/>
      <c r="G867" s="1">
        <v>484001</v>
      </c>
      <c r="H867" s="1">
        <v>2.25</v>
      </c>
    </row>
    <row r="868" spans="1:8" ht="21.75" customHeight="1">
      <c r="A868" s="1" t="str">
        <f>"1208180011879206"</f>
        <v>1208180011879206</v>
      </c>
      <c r="B868" s="1" t="s">
        <v>3298</v>
      </c>
      <c r="C868" s="1" t="s">
        <v>3299</v>
      </c>
      <c r="D868" s="1" t="s">
        <v>3300</v>
      </c>
      <c r="E868" s="1" t="s">
        <v>3301</v>
      </c>
      <c r="F868" s="1" t="s">
        <v>3297</v>
      </c>
      <c r="G868" s="1">
        <v>484001</v>
      </c>
      <c r="H868" s="1">
        <v>0.75</v>
      </c>
    </row>
    <row r="869" spans="1:8" ht="21.75" customHeight="1">
      <c r="A869" s="1" t="str">
        <f>"1208180021927995"</f>
        <v>1208180021927995</v>
      </c>
      <c r="B869" s="1" t="s">
        <v>3302</v>
      </c>
      <c r="C869" s="1" t="s">
        <v>3303</v>
      </c>
      <c r="D869" s="1" t="s">
        <v>3304</v>
      </c>
      <c r="E869" s="1"/>
      <c r="F869" s="1" t="s">
        <v>893</v>
      </c>
      <c r="G869" s="1">
        <v>485005</v>
      </c>
      <c r="H869" s="1">
        <v>22.5</v>
      </c>
    </row>
    <row r="870" spans="1:8" ht="21.75" customHeight="1">
      <c r="A870" s="1" t="str">
        <f>"1208160022272870"</f>
        <v>1208160022272870</v>
      </c>
      <c r="B870" s="1" t="s">
        <v>3305</v>
      </c>
      <c r="C870" s="1" t="s">
        <v>3306</v>
      </c>
      <c r="D870" s="1" t="s">
        <v>3307</v>
      </c>
      <c r="E870" s="1" t="s">
        <v>3308</v>
      </c>
      <c r="F870" s="1" t="s">
        <v>893</v>
      </c>
      <c r="G870" s="1">
        <v>485111</v>
      </c>
      <c r="H870" s="1">
        <v>1.5</v>
      </c>
    </row>
    <row r="871" spans="1:8" ht="21.75" customHeight="1">
      <c r="A871" s="1" t="str">
        <f>"1208160016971663"</f>
        <v>1208160016971663</v>
      </c>
      <c r="B871" s="1" t="s">
        <v>3310</v>
      </c>
      <c r="C871" s="1" t="s">
        <v>3311</v>
      </c>
      <c r="D871" s="1" t="s">
        <v>3312</v>
      </c>
      <c r="E871" s="1"/>
      <c r="F871" s="1" t="s">
        <v>893</v>
      </c>
      <c r="G871" s="1">
        <v>485771</v>
      </c>
      <c r="H871" s="1">
        <v>7.5</v>
      </c>
    </row>
    <row r="872" spans="1:8" ht="21.75" customHeight="1">
      <c r="A872" s="1" t="str">
        <f>"1208160004499731"</f>
        <v>1208160004499731</v>
      </c>
      <c r="B872" s="1" t="s">
        <v>3313</v>
      </c>
      <c r="C872" s="1" t="s">
        <v>3314</v>
      </c>
      <c r="D872" s="1" t="s">
        <v>3315</v>
      </c>
      <c r="E872" s="1"/>
      <c r="F872" s="1" t="s">
        <v>270</v>
      </c>
      <c r="G872" s="1">
        <v>486001</v>
      </c>
      <c r="H872" s="1">
        <v>2.25</v>
      </c>
    </row>
    <row r="873" spans="1:8" ht="21.75" customHeight="1">
      <c r="A873" s="1" t="str">
        <f>"1201090003721042"</f>
        <v>1201090003721042</v>
      </c>
      <c r="B873" s="1" t="s">
        <v>3316</v>
      </c>
      <c r="C873" s="1" t="s">
        <v>3317</v>
      </c>
      <c r="D873" s="1" t="s">
        <v>3318</v>
      </c>
      <c r="E873" s="1" t="s">
        <v>3319</v>
      </c>
      <c r="F873" s="1" t="s">
        <v>280</v>
      </c>
      <c r="G873" s="1">
        <v>490023</v>
      </c>
      <c r="H873" s="1">
        <v>37.5</v>
      </c>
    </row>
    <row r="874" spans="1:8" ht="21.75" customHeight="1">
      <c r="A874" s="1" t="str">
        <f>"1208160078942221"</f>
        <v>1208160078942221</v>
      </c>
      <c r="B874" s="1" t="s">
        <v>3320</v>
      </c>
      <c r="C874" s="1" t="s">
        <v>3321</v>
      </c>
      <c r="D874" s="1"/>
      <c r="E874" s="1"/>
      <c r="F874" s="1" t="s">
        <v>275</v>
      </c>
      <c r="G874" s="1">
        <v>491221</v>
      </c>
      <c r="H874" s="1">
        <v>2.25</v>
      </c>
    </row>
    <row r="875" spans="1:8" ht="21.75" customHeight="1">
      <c r="A875" s="1" t="str">
        <f>"1208160086044260"</f>
        <v>1208160086044260</v>
      </c>
      <c r="B875" s="1" t="s">
        <v>3322</v>
      </c>
      <c r="C875" s="1" t="s">
        <v>3323</v>
      </c>
      <c r="D875" s="1" t="s">
        <v>3324</v>
      </c>
      <c r="E875" s="1"/>
      <c r="F875" s="1" t="s">
        <v>3325</v>
      </c>
      <c r="G875" s="1">
        <v>491225</v>
      </c>
      <c r="H875" s="1">
        <v>3.75</v>
      </c>
    </row>
    <row r="876" spans="1:8" ht="21.75" customHeight="1">
      <c r="A876" s="1" t="str">
        <f>"IN30302885684771"</f>
        <v>IN30302885684771</v>
      </c>
      <c r="B876" s="1" t="s">
        <v>3327</v>
      </c>
      <c r="C876" s="1" t="s">
        <v>3328</v>
      </c>
      <c r="D876" s="1" t="s">
        <v>3329</v>
      </c>
      <c r="E876" s="1" t="s">
        <v>3330</v>
      </c>
      <c r="F876" s="1"/>
      <c r="G876" s="1">
        <v>491441</v>
      </c>
      <c r="H876" s="1">
        <v>4.5</v>
      </c>
    </row>
    <row r="877" spans="1:8" ht="21.75" customHeight="1">
      <c r="A877" s="1" t="str">
        <f>"1208160005624683"</f>
        <v>1208160005624683</v>
      </c>
      <c r="B877" s="1" t="s">
        <v>3331</v>
      </c>
      <c r="C877" s="1" t="s">
        <v>3332</v>
      </c>
      <c r="D877" s="1" t="s">
        <v>3333</v>
      </c>
      <c r="E877" s="1" t="s">
        <v>3334</v>
      </c>
      <c r="F877" s="1" t="s">
        <v>683</v>
      </c>
      <c r="G877" s="1">
        <v>492001</v>
      </c>
      <c r="H877" s="1">
        <v>30</v>
      </c>
    </row>
    <row r="878" spans="1:8" ht="21.75" customHeight="1">
      <c r="A878" s="1" t="str">
        <f>"IN30429521474833"</f>
        <v>IN30429521474833</v>
      </c>
      <c r="B878" s="1" t="s">
        <v>3335</v>
      </c>
      <c r="C878" s="1" t="s">
        <v>3336</v>
      </c>
      <c r="D878" s="1" t="s">
        <v>3337</v>
      </c>
      <c r="E878" s="1" t="s">
        <v>3338</v>
      </c>
      <c r="F878" s="1"/>
      <c r="G878" s="1">
        <v>492006</v>
      </c>
      <c r="H878" s="1">
        <v>5.25</v>
      </c>
    </row>
    <row r="879" spans="1:8" ht="21.75" customHeight="1">
      <c r="A879" s="1" t="str">
        <f>"1202060000939087"</f>
        <v>1202060000939087</v>
      </c>
      <c r="B879" s="1" t="s">
        <v>3339</v>
      </c>
      <c r="C879" s="1" t="s">
        <v>3340</v>
      </c>
      <c r="D879" s="1" t="s">
        <v>3341</v>
      </c>
      <c r="E879" s="1"/>
      <c r="F879" s="1" t="s">
        <v>3326</v>
      </c>
      <c r="G879" s="1">
        <v>493773</v>
      </c>
      <c r="H879" s="1">
        <v>22.5</v>
      </c>
    </row>
    <row r="880" spans="1:8" ht="21.75" customHeight="1">
      <c r="A880" s="1" t="str">
        <f>"1203320028262196"</f>
        <v>1203320028262196</v>
      </c>
      <c r="B880" s="1" t="s">
        <v>3342</v>
      </c>
      <c r="C880" s="1" t="s">
        <v>3343</v>
      </c>
      <c r="D880" s="1" t="s">
        <v>3344</v>
      </c>
      <c r="E880" s="1"/>
      <c r="F880" s="1" t="s">
        <v>3326</v>
      </c>
      <c r="G880" s="1">
        <v>493773</v>
      </c>
      <c r="H880" s="1">
        <v>3.75</v>
      </c>
    </row>
    <row r="881" spans="1:8" ht="21.75" customHeight="1">
      <c r="A881" s="1" t="str">
        <f>"1205420001314781"</f>
        <v>1205420001314781</v>
      </c>
      <c r="B881" s="1" t="s">
        <v>3345</v>
      </c>
      <c r="C881" s="1" t="s">
        <v>3346</v>
      </c>
      <c r="D881" s="1" t="s">
        <v>3347</v>
      </c>
      <c r="E881" s="1" t="s">
        <v>3348</v>
      </c>
      <c r="F881" s="1" t="s">
        <v>3349</v>
      </c>
      <c r="G881" s="1">
        <v>495001</v>
      </c>
      <c r="H881" s="1">
        <v>7.5</v>
      </c>
    </row>
    <row r="882" spans="1:8" ht="21.75" customHeight="1">
      <c r="A882" s="1" t="str">
        <f>"1201090021412595"</f>
        <v>1201090021412595</v>
      </c>
      <c r="B882" s="1" t="s">
        <v>3350</v>
      </c>
      <c r="C882" s="1" t="s">
        <v>3351</v>
      </c>
      <c r="D882" s="1" t="s">
        <v>3352</v>
      </c>
      <c r="E882" s="1"/>
      <c r="F882" s="1" t="s">
        <v>3349</v>
      </c>
      <c r="G882" s="1">
        <v>495001</v>
      </c>
      <c r="H882" s="1">
        <v>3.75</v>
      </c>
    </row>
    <row r="883" spans="1:8" ht="21.75" customHeight="1">
      <c r="A883" s="1" t="str">
        <f>"1203320025847527"</f>
        <v>1203320025847527</v>
      </c>
      <c r="B883" s="1" t="s">
        <v>3354</v>
      </c>
      <c r="C883" s="1" t="s">
        <v>3355</v>
      </c>
      <c r="D883" s="1" t="s">
        <v>3356</v>
      </c>
      <c r="E883" s="1" t="s">
        <v>3357</v>
      </c>
      <c r="F883" s="1" t="s">
        <v>3358</v>
      </c>
      <c r="G883" s="1">
        <v>496001</v>
      </c>
      <c r="H883" s="1">
        <v>8.25</v>
      </c>
    </row>
    <row r="884" spans="1:8" ht="21.75" customHeight="1">
      <c r="A884" s="1" t="str">
        <f>"1208160058274883"</f>
        <v>1208160058274883</v>
      </c>
      <c r="B884" s="1" t="s">
        <v>3360</v>
      </c>
      <c r="C884" s="1" t="s">
        <v>3361</v>
      </c>
      <c r="D884" s="1"/>
      <c r="E884" s="1"/>
      <c r="F884" s="1" t="s">
        <v>3359</v>
      </c>
      <c r="G884" s="1">
        <v>497224</v>
      </c>
      <c r="H884" s="1">
        <v>2.25</v>
      </c>
    </row>
    <row r="885" spans="1:8" ht="21.75" customHeight="1">
      <c r="A885" s="1" t="str">
        <f>"1204920005953070"</f>
        <v>1204920005953070</v>
      </c>
      <c r="B885" s="1" t="s">
        <v>3362</v>
      </c>
      <c r="C885" s="1" t="s">
        <v>3363</v>
      </c>
      <c r="D885" s="1" t="s">
        <v>3364</v>
      </c>
      <c r="E885" s="1" t="s">
        <v>3365</v>
      </c>
      <c r="F885" s="1" t="s">
        <v>281</v>
      </c>
      <c r="G885" s="1">
        <v>500001</v>
      </c>
      <c r="H885" s="1">
        <v>150</v>
      </c>
    </row>
    <row r="886" spans="1:8" ht="21.75" customHeight="1">
      <c r="A886" s="1" t="str">
        <f>"1204920002307532"</f>
        <v>1204920002307532</v>
      </c>
      <c r="B886" s="1" t="s">
        <v>3366</v>
      </c>
      <c r="C886" s="1" t="s">
        <v>3367</v>
      </c>
      <c r="D886" s="1" t="s">
        <v>285</v>
      </c>
      <c r="E886" s="1"/>
      <c r="F886" s="1" t="s">
        <v>281</v>
      </c>
      <c r="G886" s="1">
        <v>500003</v>
      </c>
      <c r="H886" s="1">
        <v>0.75</v>
      </c>
    </row>
    <row r="887" spans="1:8" ht="21.75" customHeight="1">
      <c r="A887" s="1" t="str">
        <f>"1208160007924351"</f>
        <v>1208160007924351</v>
      </c>
      <c r="B887" s="1" t="s">
        <v>3368</v>
      </c>
      <c r="C887" s="1" t="s">
        <v>3369</v>
      </c>
      <c r="D887" s="1" t="s">
        <v>3370</v>
      </c>
      <c r="E887" s="1"/>
      <c r="F887" s="1" t="s">
        <v>281</v>
      </c>
      <c r="G887" s="1">
        <v>500004</v>
      </c>
      <c r="H887" s="1">
        <v>225</v>
      </c>
    </row>
    <row r="888" spans="1:8" ht="21.75" customHeight="1">
      <c r="A888" s="1" t="str">
        <f>"IN30177417423572"</f>
        <v>IN30177417423572</v>
      </c>
      <c r="B888" s="1" t="s">
        <v>3371</v>
      </c>
      <c r="C888" s="1" t="s">
        <v>3372</v>
      </c>
      <c r="D888" s="1" t="s">
        <v>3373</v>
      </c>
      <c r="E888" s="1" t="s">
        <v>3374</v>
      </c>
      <c r="F888" s="1"/>
      <c r="G888" s="1">
        <v>500004</v>
      </c>
      <c r="H888" s="1">
        <v>37.5</v>
      </c>
    </row>
    <row r="889" spans="1:8" ht="21.75" customHeight="1">
      <c r="A889" s="1" t="str">
        <f>"1204920002403237"</f>
        <v>1204920002403237</v>
      </c>
      <c r="B889" s="1" t="s">
        <v>3375</v>
      </c>
      <c r="C889" s="1" t="s">
        <v>3376</v>
      </c>
      <c r="D889" s="1" t="s">
        <v>3377</v>
      </c>
      <c r="E889" s="1" t="s">
        <v>3378</v>
      </c>
      <c r="F889" s="1" t="s">
        <v>281</v>
      </c>
      <c r="G889" s="1">
        <v>500005</v>
      </c>
      <c r="H889" s="1">
        <v>0.75</v>
      </c>
    </row>
    <row r="890" spans="1:8" ht="21.75" customHeight="1">
      <c r="A890" s="1" t="str">
        <f>"IN30429523692308"</f>
        <v>IN30429523692308</v>
      </c>
      <c r="B890" s="1" t="s">
        <v>3379</v>
      </c>
      <c r="C890" s="1" t="s">
        <v>3380</v>
      </c>
      <c r="D890" s="1" t="s">
        <v>3381</v>
      </c>
      <c r="E890" s="1" t="s">
        <v>3382</v>
      </c>
      <c r="F890" s="1"/>
      <c r="G890" s="1">
        <v>500005</v>
      </c>
      <c r="H890" s="1">
        <v>3.75</v>
      </c>
    </row>
    <row r="891" spans="1:8" ht="21.75" customHeight="1">
      <c r="A891" s="1" t="str">
        <f>"1204920006098599"</f>
        <v>1204920006098599</v>
      </c>
      <c r="B891" s="1" t="s">
        <v>3383</v>
      </c>
      <c r="C891" s="1" t="s">
        <v>3384</v>
      </c>
      <c r="D891" s="1" t="s">
        <v>3385</v>
      </c>
      <c r="E891" s="1" t="s">
        <v>410</v>
      </c>
      <c r="F891" s="1" t="s">
        <v>281</v>
      </c>
      <c r="G891" s="1">
        <v>500006</v>
      </c>
      <c r="H891" s="1">
        <v>0.75</v>
      </c>
    </row>
    <row r="892" spans="1:8" ht="21.75" customHeight="1">
      <c r="A892" s="1" t="str">
        <f>"1204920002096532"</f>
        <v>1204920002096532</v>
      </c>
      <c r="B892" s="1" t="s">
        <v>3386</v>
      </c>
      <c r="C892" s="1" t="s">
        <v>3387</v>
      </c>
      <c r="D892" s="1" t="s">
        <v>3388</v>
      </c>
      <c r="E892" s="1" t="s">
        <v>3389</v>
      </c>
      <c r="F892" s="1" t="s">
        <v>281</v>
      </c>
      <c r="G892" s="1">
        <v>500007</v>
      </c>
      <c r="H892" s="1">
        <v>1.5</v>
      </c>
    </row>
    <row r="893" spans="1:8" ht="21.75" customHeight="1">
      <c r="A893" s="1" t="str">
        <f>"IN30429514812665"</f>
        <v>IN30429514812665</v>
      </c>
      <c r="B893" s="1" t="s">
        <v>3390</v>
      </c>
      <c r="C893" s="1" t="s">
        <v>3391</v>
      </c>
      <c r="D893" s="1" t="s">
        <v>3392</v>
      </c>
      <c r="E893" s="1" t="s">
        <v>3393</v>
      </c>
      <c r="F893" s="1"/>
      <c r="G893" s="1">
        <v>500009</v>
      </c>
      <c r="H893" s="1">
        <v>7.5</v>
      </c>
    </row>
    <row r="894" spans="1:8" ht="21.75" customHeight="1">
      <c r="A894" s="1" t="str">
        <f>"IN30051319103729"</f>
        <v>IN30051319103729</v>
      </c>
      <c r="B894" s="1" t="s">
        <v>3394</v>
      </c>
      <c r="C894" s="1" t="s">
        <v>3395</v>
      </c>
      <c r="D894" s="1" t="s">
        <v>3396</v>
      </c>
      <c r="E894" s="1" t="s">
        <v>3397</v>
      </c>
      <c r="F894" s="1"/>
      <c r="G894" s="1">
        <v>500010</v>
      </c>
      <c r="H894" s="1">
        <v>6.75</v>
      </c>
    </row>
    <row r="895" spans="1:8" ht="21.75" customHeight="1">
      <c r="A895" s="1" t="str">
        <f>"1203840001020689"</f>
        <v>1203840001020689</v>
      </c>
      <c r="B895" s="1" t="s">
        <v>3398</v>
      </c>
      <c r="C895" s="1" t="s">
        <v>3399</v>
      </c>
      <c r="D895" s="1" t="s">
        <v>3400</v>
      </c>
      <c r="E895" s="1" t="s">
        <v>3401</v>
      </c>
      <c r="F895" s="1" t="s">
        <v>281</v>
      </c>
      <c r="G895" s="1">
        <v>500013</v>
      </c>
      <c r="H895" s="1">
        <v>37.5</v>
      </c>
    </row>
    <row r="896" spans="1:8" ht="21.75" customHeight="1">
      <c r="A896" s="1" t="str">
        <f>"IN30051320210835"</f>
        <v>IN30051320210835</v>
      </c>
      <c r="B896" s="1" t="s">
        <v>3402</v>
      </c>
      <c r="C896" s="1" t="s">
        <v>3403</v>
      </c>
      <c r="D896" s="1"/>
      <c r="E896" s="1" t="s">
        <v>3404</v>
      </c>
      <c r="F896" s="1"/>
      <c r="G896" s="1">
        <v>500016</v>
      </c>
      <c r="H896" s="1">
        <v>7.5</v>
      </c>
    </row>
    <row r="897" spans="1:8" ht="21.75" customHeight="1">
      <c r="A897" s="1" t="str">
        <f>"IN30429573442830"</f>
        <v>IN30429573442830</v>
      </c>
      <c r="B897" s="1" t="s">
        <v>3405</v>
      </c>
      <c r="C897" s="1" t="s">
        <v>3406</v>
      </c>
      <c r="D897" s="1" t="s">
        <v>3407</v>
      </c>
      <c r="E897" s="1" t="s">
        <v>3408</v>
      </c>
      <c r="F897" s="1"/>
      <c r="G897" s="1">
        <v>500016</v>
      </c>
      <c r="H897" s="1">
        <v>37.5</v>
      </c>
    </row>
    <row r="898" spans="1:8" ht="21.75" customHeight="1">
      <c r="A898" s="1" t="str">
        <f>"1208250008827498"</f>
        <v>1208250008827498</v>
      </c>
      <c r="B898" s="1" t="s">
        <v>3409</v>
      </c>
      <c r="C898" s="1" t="s">
        <v>3410</v>
      </c>
      <c r="D898" s="1" t="s">
        <v>281</v>
      </c>
      <c r="E898" s="1"/>
      <c r="F898" s="1" t="s">
        <v>281</v>
      </c>
      <c r="G898" s="1">
        <v>500018</v>
      </c>
      <c r="H898" s="1">
        <v>1.5</v>
      </c>
    </row>
    <row r="899" spans="1:8" ht="21.75" customHeight="1">
      <c r="A899" s="1" t="str">
        <f>"1204920002363786"</f>
        <v>1204920002363786</v>
      </c>
      <c r="B899" s="1" t="s">
        <v>3411</v>
      </c>
      <c r="C899" s="1" t="s">
        <v>3412</v>
      </c>
      <c r="D899" s="1" t="s">
        <v>3413</v>
      </c>
      <c r="E899" s="1" t="s">
        <v>3414</v>
      </c>
      <c r="F899" s="1" t="s">
        <v>281</v>
      </c>
      <c r="G899" s="1">
        <v>500018</v>
      </c>
      <c r="H899" s="1">
        <v>0.75</v>
      </c>
    </row>
    <row r="900" spans="1:8" ht="21.75" customHeight="1">
      <c r="A900" s="1" t="str">
        <f>"IN30611490751928"</f>
        <v>IN30611490751928</v>
      </c>
      <c r="B900" s="1" t="s">
        <v>3415</v>
      </c>
      <c r="C900" s="1" t="s">
        <v>3416</v>
      </c>
      <c r="D900" s="1" t="s">
        <v>3417</v>
      </c>
      <c r="E900" s="1" t="s">
        <v>3418</v>
      </c>
      <c r="F900" s="1"/>
      <c r="G900" s="1">
        <v>500019</v>
      </c>
      <c r="H900" s="1">
        <v>712.5</v>
      </c>
    </row>
    <row r="901" spans="1:8" ht="21.75" customHeight="1">
      <c r="A901" s="1" t="str">
        <f>"1208160000942881"</f>
        <v>1208160000942881</v>
      </c>
      <c r="B901" s="1" t="s">
        <v>3419</v>
      </c>
      <c r="C901" s="1" t="s">
        <v>3420</v>
      </c>
      <c r="D901" s="1" t="s">
        <v>3421</v>
      </c>
      <c r="E901" s="1"/>
      <c r="F901" s="1" t="s">
        <v>281</v>
      </c>
      <c r="G901" s="1">
        <v>500020</v>
      </c>
      <c r="H901" s="1">
        <v>22.5</v>
      </c>
    </row>
    <row r="902" spans="1:8" ht="21.75" customHeight="1">
      <c r="A902" s="1" t="str">
        <f>"1208180002716531"</f>
        <v>1208180002716531</v>
      </c>
      <c r="B902" s="1" t="s">
        <v>3424</v>
      </c>
      <c r="C902" s="1" t="s">
        <v>3425</v>
      </c>
      <c r="D902" s="1" t="s">
        <v>3426</v>
      </c>
      <c r="E902" s="1"/>
      <c r="F902" s="1" t="s">
        <v>281</v>
      </c>
      <c r="G902" s="1">
        <v>500026</v>
      </c>
      <c r="H902" s="1">
        <v>1.5</v>
      </c>
    </row>
    <row r="903" spans="1:8" ht="21.75" customHeight="1">
      <c r="A903" s="1" t="str">
        <f>"1204920002423338"</f>
        <v>1204920002423338</v>
      </c>
      <c r="B903" s="1" t="s">
        <v>3427</v>
      </c>
      <c r="C903" s="1" t="s">
        <v>3428</v>
      </c>
      <c r="D903" s="1" t="s">
        <v>3429</v>
      </c>
      <c r="E903" s="1" t="s">
        <v>410</v>
      </c>
      <c r="F903" s="1" t="s">
        <v>281</v>
      </c>
      <c r="G903" s="1">
        <v>500028</v>
      </c>
      <c r="H903" s="1">
        <v>0.75</v>
      </c>
    </row>
    <row r="904" spans="1:8" ht="21.75" customHeight="1">
      <c r="A904" s="1" t="str">
        <f>"IN30036010177573"</f>
        <v>IN30036010177573</v>
      </c>
      <c r="B904" s="1" t="s">
        <v>3430</v>
      </c>
      <c r="C904" s="1" t="s">
        <v>3431</v>
      </c>
      <c r="D904" s="1" t="s">
        <v>3432</v>
      </c>
      <c r="E904" s="1" t="s">
        <v>281</v>
      </c>
      <c r="F904" s="1"/>
      <c r="G904" s="1">
        <v>500028</v>
      </c>
      <c r="H904" s="1">
        <v>150</v>
      </c>
    </row>
    <row r="905" spans="1:8" ht="21.75" customHeight="1">
      <c r="A905" s="1" t="str">
        <f>"1208530001410777"</f>
        <v>1208530001410777</v>
      </c>
      <c r="B905" s="1" t="s">
        <v>3433</v>
      </c>
      <c r="C905" s="1" t="s">
        <v>3434</v>
      </c>
      <c r="D905" s="1" t="s">
        <v>3435</v>
      </c>
      <c r="E905" s="1" t="s">
        <v>281</v>
      </c>
      <c r="F905" s="1" t="s">
        <v>281</v>
      </c>
      <c r="G905" s="1">
        <v>500035</v>
      </c>
      <c r="H905" s="1">
        <v>1.5</v>
      </c>
    </row>
    <row r="906" spans="1:8" ht="21.75" customHeight="1">
      <c r="A906" s="1" t="str">
        <f>"1208160023388053"</f>
        <v>1208160023388053</v>
      </c>
      <c r="B906" s="1" t="s">
        <v>3437</v>
      </c>
      <c r="C906" s="1" t="s">
        <v>3438</v>
      </c>
      <c r="D906" s="1" t="s">
        <v>3439</v>
      </c>
      <c r="E906" s="1" t="s">
        <v>3440</v>
      </c>
      <c r="F906" s="1" t="s">
        <v>3436</v>
      </c>
      <c r="G906" s="1">
        <v>500035</v>
      </c>
      <c r="H906" s="1">
        <v>26.25</v>
      </c>
    </row>
    <row r="907" spans="1:8" ht="21.75" customHeight="1">
      <c r="A907" s="1" t="str">
        <f>"1208160065529138"</f>
        <v>1208160065529138</v>
      </c>
      <c r="B907" s="1" t="s">
        <v>3441</v>
      </c>
      <c r="C907" s="1" t="s">
        <v>3442</v>
      </c>
      <c r="D907" s="1" t="s">
        <v>3443</v>
      </c>
      <c r="E907" s="1"/>
      <c r="F907" s="1" t="s">
        <v>281</v>
      </c>
      <c r="G907" s="1">
        <v>500036</v>
      </c>
      <c r="H907" s="1">
        <v>0.75</v>
      </c>
    </row>
    <row r="908" spans="1:8" ht="21.75" customHeight="1">
      <c r="A908" s="1" t="str">
        <f>"1204920002421062"</f>
        <v>1204920002421062</v>
      </c>
      <c r="B908" s="1" t="s">
        <v>3444</v>
      </c>
      <c r="C908" s="1" t="s">
        <v>3445</v>
      </c>
      <c r="D908" s="1" t="s">
        <v>3446</v>
      </c>
      <c r="E908" s="1" t="s">
        <v>3447</v>
      </c>
      <c r="F908" s="1" t="s">
        <v>281</v>
      </c>
      <c r="G908" s="1">
        <v>500038</v>
      </c>
      <c r="H908" s="1">
        <v>0.75</v>
      </c>
    </row>
    <row r="909" spans="1:8" ht="21.75" customHeight="1">
      <c r="A909" s="1" t="str">
        <f>"1206730000001054"</f>
        <v>1206730000001054</v>
      </c>
      <c r="B909" s="1" t="s">
        <v>3448</v>
      </c>
      <c r="C909" s="1" t="s">
        <v>3449</v>
      </c>
      <c r="D909" s="1" t="s">
        <v>3450</v>
      </c>
      <c r="E909" s="1" t="s">
        <v>3451</v>
      </c>
      <c r="F909" s="1" t="s">
        <v>3452</v>
      </c>
      <c r="G909" s="1">
        <v>500040</v>
      </c>
      <c r="H909" s="1">
        <v>278.25</v>
      </c>
    </row>
    <row r="910" spans="1:8" ht="21.75" customHeight="1">
      <c r="A910" s="1" t="str">
        <f>"1201090011711422"</f>
        <v>1201090011711422</v>
      </c>
      <c r="B910" s="1" t="s">
        <v>3453</v>
      </c>
      <c r="C910" s="1" t="s">
        <v>3454</v>
      </c>
      <c r="D910" s="1" t="s">
        <v>3455</v>
      </c>
      <c r="E910" s="1" t="s">
        <v>3451</v>
      </c>
      <c r="F910" s="1" t="s">
        <v>285</v>
      </c>
      <c r="G910" s="1">
        <v>500040</v>
      </c>
      <c r="H910" s="1">
        <v>56.25</v>
      </c>
    </row>
    <row r="911" spans="1:8" ht="21.75" customHeight="1">
      <c r="A911" s="1" t="str">
        <f>"IN30009511760884"</f>
        <v>IN30009511760884</v>
      </c>
      <c r="B911" s="1" t="s">
        <v>3456</v>
      </c>
      <c r="C911" s="1" t="s">
        <v>3457</v>
      </c>
      <c r="D911" s="1" t="s">
        <v>3458</v>
      </c>
      <c r="E911" s="1" t="s">
        <v>3459</v>
      </c>
      <c r="F911" s="1"/>
      <c r="G911" s="1">
        <v>500044</v>
      </c>
      <c r="H911" s="1">
        <v>750</v>
      </c>
    </row>
    <row r="912" spans="1:8" ht="21.75" customHeight="1">
      <c r="A912" s="1" t="str">
        <f>"1204920002425219"</f>
        <v>1204920002425219</v>
      </c>
      <c r="B912" s="1" t="s">
        <v>3460</v>
      </c>
      <c r="C912" s="1" t="s">
        <v>3461</v>
      </c>
      <c r="D912" s="1" t="s">
        <v>3462</v>
      </c>
      <c r="E912" s="1" t="s">
        <v>410</v>
      </c>
      <c r="F912" s="1" t="s">
        <v>281</v>
      </c>
      <c r="G912" s="1">
        <v>500045</v>
      </c>
      <c r="H912" s="1">
        <v>0.75</v>
      </c>
    </row>
    <row r="913" spans="1:8" ht="21.75" customHeight="1">
      <c r="A913" s="1" t="str">
        <f>"IN30302851272693"</f>
        <v>IN30302851272693</v>
      </c>
      <c r="B913" s="1" t="s">
        <v>3463</v>
      </c>
      <c r="C913" s="1" t="s">
        <v>3464</v>
      </c>
      <c r="D913" s="1" t="s">
        <v>3465</v>
      </c>
      <c r="E913" s="1" t="s">
        <v>3466</v>
      </c>
      <c r="F913" s="1"/>
      <c r="G913" s="1">
        <v>500048</v>
      </c>
      <c r="H913" s="1">
        <v>30</v>
      </c>
    </row>
    <row r="914" spans="1:8" ht="21.75" customHeight="1">
      <c r="A914" s="1" t="str">
        <f>"1203070000461197"</f>
        <v>1203070000461197</v>
      </c>
      <c r="B914" s="1" t="s">
        <v>3467</v>
      </c>
      <c r="C914" s="1" t="s">
        <v>3468</v>
      </c>
      <c r="D914" s="1" t="s">
        <v>3469</v>
      </c>
      <c r="E914" s="1" t="s">
        <v>3470</v>
      </c>
      <c r="F914" s="1" t="s">
        <v>281</v>
      </c>
      <c r="G914" s="1">
        <v>500049</v>
      </c>
      <c r="H914" s="1">
        <v>37.5</v>
      </c>
    </row>
    <row r="915" spans="1:8" ht="21.75" customHeight="1">
      <c r="A915" s="1" t="str">
        <f>"1204920002211801"</f>
        <v>1204920002211801</v>
      </c>
      <c r="B915" s="1" t="s">
        <v>3471</v>
      </c>
      <c r="C915" s="1" t="s">
        <v>3472</v>
      </c>
      <c r="D915" s="1" t="s">
        <v>3473</v>
      </c>
      <c r="E915" s="1" t="s">
        <v>3474</v>
      </c>
      <c r="F915" s="1" t="s">
        <v>281</v>
      </c>
      <c r="G915" s="1">
        <v>500053</v>
      </c>
      <c r="H915" s="1">
        <v>21</v>
      </c>
    </row>
    <row r="916" spans="1:8" ht="21.75" customHeight="1">
      <c r="A916" s="1" t="str">
        <f>"1204920002521308"</f>
        <v>1204920002521308</v>
      </c>
      <c r="B916" s="1" t="s">
        <v>3475</v>
      </c>
      <c r="C916" s="1" t="s">
        <v>3476</v>
      </c>
      <c r="D916" s="1" t="s">
        <v>3477</v>
      </c>
      <c r="E916" s="1" t="s">
        <v>3478</v>
      </c>
      <c r="F916" s="1" t="s">
        <v>281</v>
      </c>
      <c r="G916" s="1">
        <v>500055</v>
      </c>
      <c r="H916" s="1">
        <v>0.75</v>
      </c>
    </row>
    <row r="917" spans="1:8" ht="21.75" customHeight="1">
      <c r="A917" s="1" t="str">
        <f>"1204920002413171"</f>
        <v>1204920002413171</v>
      </c>
      <c r="B917" s="1" t="s">
        <v>3479</v>
      </c>
      <c r="C917" s="1" t="s">
        <v>3480</v>
      </c>
      <c r="D917" s="1" t="s">
        <v>3481</v>
      </c>
      <c r="E917" s="1" t="s">
        <v>3482</v>
      </c>
      <c r="F917" s="1" t="s">
        <v>281</v>
      </c>
      <c r="G917" s="1">
        <v>500059</v>
      </c>
      <c r="H917" s="1">
        <v>0.75</v>
      </c>
    </row>
    <row r="918" spans="1:8" ht="21.75" customHeight="1">
      <c r="A918" s="1" t="str">
        <f>"IN30290240995227"</f>
        <v>IN30290240995227</v>
      </c>
      <c r="B918" s="1" t="s">
        <v>3483</v>
      </c>
      <c r="C918" s="1" t="s">
        <v>3484</v>
      </c>
      <c r="D918" s="1" t="s">
        <v>3485</v>
      </c>
      <c r="E918" s="1" t="s">
        <v>3486</v>
      </c>
      <c r="F918" s="1"/>
      <c r="G918" s="1">
        <v>500059</v>
      </c>
      <c r="H918" s="1">
        <v>11.25</v>
      </c>
    </row>
    <row r="919" spans="1:8" ht="21.75" customHeight="1">
      <c r="A919" s="1" t="str">
        <f>"IN30429514811099"</f>
        <v>IN30429514811099</v>
      </c>
      <c r="B919" s="1" t="s">
        <v>3487</v>
      </c>
      <c r="C919" s="1" t="s">
        <v>3488</v>
      </c>
      <c r="D919" s="1" t="s">
        <v>3489</v>
      </c>
      <c r="E919" s="1" t="s">
        <v>3490</v>
      </c>
      <c r="F919" s="1"/>
      <c r="G919" s="1">
        <v>500060</v>
      </c>
      <c r="H919" s="1">
        <v>15</v>
      </c>
    </row>
    <row r="920" spans="1:8" ht="21.75" customHeight="1">
      <c r="A920" s="1" t="str">
        <f>"1204470003770375"</f>
        <v>1204470003770375</v>
      </c>
      <c r="B920" s="1" t="s">
        <v>3491</v>
      </c>
      <c r="C920" s="1" t="s">
        <v>3492</v>
      </c>
      <c r="D920" s="1" t="s">
        <v>3493</v>
      </c>
      <c r="E920" s="1"/>
      <c r="F920" s="1" t="s">
        <v>281</v>
      </c>
      <c r="G920" s="1">
        <v>500062</v>
      </c>
      <c r="H920" s="1">
        <v>2.25</v>
      </c>
    </row>
    <row r="921" spans="1:8" ht="21.75" customHeight="1">
      <c r="A921" s="1" t="str">
        <f>"IN30429525314654"</f>
        <v>IN30429525314654</v>
      </c>
      <c r="B921" s="1" t="s">
        <v>3494</v>
      </c>
      <c r="C921" s="1" t="s">
        <v>3495</v>
      </c>
      <c r="D921" s="1" t="s">
        <v>3496</v>
      </c>
      <c r="E921" s="1" t="s">
        <v>3497</v>
      </c>
      <c r="F921" s="1"/>
      <c r="G921" s="1">
        <v>500062</v>
      </c>
      <c r="H921" s="1">
        <v>0.75</v>
      </c>
    </row>
    <row r="922" spans="1:8" ht="21.75" customHeight="1">
      <c r="A922" s="1" t="str">
        <f>"IN30429514690760"</f>
        <v>IN30429514690760</v>
      </c>
      <c r="B922" s="1" t="s">
        <v>3498</v>
      </c>
      <c r="C922" s="1" t="s">
        <v>3499</v>
      </c>
      <c r="D922" s="1" t="s">
        <v>3500</v>
      </c>
      <c r="E922" s="1" t="s">
        <v>3501</v>
      </c>
      <c r="F922" s="1"/>
      <c r="G922" s="1">
        <v>500062</v>
      </c>
      <c r="H922" s="1">
        <v>3.75</v>
      </c>
    </row>
    <row r="923" spans="1:8" ht="21.75" customHeight="1">
      <c r="A923" s="1" t="str">
        <f>"1208180002746765"</f>
        <v>1208180002746765</v>
      </c>
      <c r="B923" s="1" t="s">
        <v>3503</v>
      </c>
      <c r="C923" s="1" t="s">
        <v>3504</v>
      </c>
      <c r="D923" s="1" t="s">
        <v>3505</v>
      </c>
      <c r="E923" s="1" t="s">
        <v>3506</v>
      </c>
      <c r="F923" s="1" t="s">
        <v>3502</v>
      </c>
      <c r="G923" s="1">
        <v>500070</v>
      </c>
      <c r="H923" s="1">
        <v>608.25</v>
      </c>
    </row>
    <row r="924" spans="1:8" ht="21.75" customHeight="1">
      <c r="A924" s="1" t="str">
        <f>"1202420000567672"</f>
        <v>1202420000567672</v>
      </c>
      <c r="B924" s="1" t="s">
        <v>3507</v>
      </c>
      <c r="C924" s="1" t="s">
        <v>3508</v>
      </c>
      <c r="D924" s="1" t="s">
        <v>3509</v>
      </c>
      <c r="E924" s="1" t="s">
        <v>3510</v>
      </c>
      <c r="F924" s="1" t="s">
        <v>281</v>
      </c>
      <c r="G924" s="1">
        <v>500072</v>
      </c>
      <c r="H924" s="1">
        <v>60</v>
      </c>
    </row>
    <row r="925" spans="1:8" ht="21.75" customHeight="1">
      <c r="A925" s="1" t="str">
        <f>"1204470010505259"</f>
        <v>1204470010505259</v>
      </c>
      <c r="B925" s="1" t="s">
        <v>3511</v>
      </c>
      <c r="C925" s="1" t="s">
        <v>3512</v>
      </c>
      <c r="D925" s="1" t="s">
        <v>3513</v>
      </c>
      <c r="E925" s="1" t="s">
        <v>3514</v>
      </c>
      <c r="F925" s="1" t="s">
        <v>3502</v>
      </c>
      <c r="G925" s="1">
        <v>500079</v>
      </c>
      <c r="H925" s="1">
        <v>22.5</v>
      </c>
    </row>
    <row r="926" spans="1:8" ht="21.75" customHeight="1">
      <c r="A926" s="1" t="str">
        <f>"1208870016005858"</f>
        <v>1208870016005858</v>
      </c>
      <c r="B926" s="1" t="s">
        <v>3515</v>
      </c>
      <c r="C926" s="1" t="s">
        <v>3516</v>
      </c>
      <c r="D926" s="1" t="s">
        <v>3517</v>
      </c>
      <c r="E926" s="1" t="s">
        <v>3518</v>
      </c>
      <c r="F926" s="1" t="s">
        <v>281</v>
      </c>
      <c r="G926" s="1">
        <v>500080</v>
      </c>
      <c r="H926" s="1">
        <v>0.75</v>
      </c>
    </row>
    <row r="927" spans="1:8" ht="21.75" customHeight="1">
      <c r="A927" s="1" t="str">
        <f>"1204920002378752"</f>
        <v>1204920002378752</v>
      </c>
      <c r="B927" s="1" t="s">
        <v>3519</v>
      </c>
      <c r="C927" s="1" t="s">
        <v>3520</v>
      </c>
      <c r="D927" s="1" t="s">
        <v>3521</v>
      </c>
      <c r="E927" s="1" t="s">
        <v>3522</v>
      </c>
      <c r="F927" s="1" t="s">
        <v>281</v>
      </c>
      <c r="G927" s="1">
        <v>500080</v>
      </c>
      <c r="H927" s="1">
        <v>0.75</v>
      </c>
    </row>
    <row r="928" spans="1:8" ht="21.75" customHeight="1">
      <c r="A928" s="1" t="str">
        <f>"1203230001512946"</f>
        <v>1203230001512946</v>
      </c>
      <c r="B928" s="1" t="s">
        <v>3523</v>
      </c>
      <c r="C928" s="1" t="s">
        <v>3524</v>
      </c>
      <c r="D928" s="1" t="s">
        <v>3525</v>
      </c>
      <c r="E928" s="1" t="s">
        <v>3526</v>
      </c>
      <c r="F928" s="1" t="s">
        <v>281</v>
      </c>
      <c r="G928" s="1">
        <v>500081</v>
      </c>
      <c r="H928" s="1">
        <v>150</v>
      </c>
    </row>
    <row r="929" spans="1:8" ht="21.75" customHeight="1">
      <c r="A929" s="1" t="str">
        <f>"IN30429514772234"</f>
        <v>IN30429514772234</v>
      </c>
      <c r="B929" s="1" t="s">
        <v>3527</v>
      </c>
      <c r="C929" s="1" t="s">
        <v>3528</v>
      </c>
      <c r="D929" s="1" t="s">
        <v>3529</v>
      </c>
      <c r="E929" s="1" t="s">
        <v>3530</v>
      </c>
      <c r="F929" s="1"/>
      <c r="G929" s="1">
        <v>500081</v>
      </c>
      <c r="H929" s="1">
        <v>7.5</v>
      </c>
    </row>
    <row r="930" spans="1:8" ht="21.75" customHeight="1">
      <c r="A930" s="1" t="str">
        <f>"IN30051381674437"</f>
        <v>IN30051381674437</v>
      </c>
      <c r="B930" s="1" t="s">
        <v>3531</v>
      </c>
      <c r="C930" s="1" t="s">
        <v>3532</v>
      </c>
      <c r="D930" s="1" t="s">
        <v>3533</v>
      </c>
      <c r="E930" s="1" t="s">
        <v>3534</v>
      </c>
      <c r="F930" s="1"/>
      <c r="G930" s="1">
        <v>500081</v>
      </c>
      <c r="H930" s="1">
        <v>75</v>
      </c>
    </row>
    <row r="931" spans="1:8" ht="21.75" customHeight="1">
      <c r="A931" s="1" t="str">
        <f>"1203810000220371"</f>
        <v>1203810000220371</v>
      </c>
      <c r="B931" s="1" t="s">
        <v>3535</v>
      </c>
      <c r="C931" s="1" t="s">
        <v>3536</v>
      </c>
      <c r="D931" s="1" t="s">
        <v>3537</v>
      </c>
      <c r="E931" s="1" t="s">
        <v>3452</v>
      </c>
      <c r="F931" s="1" t="s">
        <v>281</v>
      </c>
      <c r="G931" s="1">
        <v>500090</v>
      </c>
      <c r="H931" s="1">
        <v>7.5</v>
      </c>
    </row>
    <row r="932" spans="1:8" ht="21.75" customHeight="1">
      <c r="A932" s="1" t="str">
        <f>"1204920006103162"</f>
        <v>1204920006103162</v>
      </c>
      <c r="B932" s="1" t="s">
        <v>3538</v>
      </c>
      <c r="C932" s="1" t="s">
        <v>3539</v>
      </c>
      <c r="D932" s="1" t="s">
        <v>3540</v>
      </c>
      <c r="E932" s="1" t="s">
        <v>3541</v>
      </c>
      <c r="F932" s="1" t="s">
        <v>281</v>
      </c>
      <c r="G932" s="1">
        <v>500092</v>
      </c>
      <c r="H932" s="1">
        <v>0.75</v>
      </c>
    </row>
    <row r="933" spans="1:8" ht="21.75" customHeight="1">
      <c r="A933" s="1" t="str">
        <f>"1208180039464195"</f>
        <v>1208180039464195</v>
      </c>
      <c r="B933" s="1" t="s">
        <v>3542</v>
      </c>
      <c r="C933" s="1" t="s">
        <v>3543</v>
      </c>
      <c r="D933" s="1" t="s">
        <v>3544</v>
      </c>
      <c r="E933" s="1" t="s">
        <v>3545</v>
      </c>
      <c r="F933" s="1" t="s">
        <v>281</v>
      </c>
      <c r="G933" s="1">
        <v>500094</v>
      </c>
      <c r="H933" s="1">
        <v>7.5</v>
      </c>
    </row>
    <row r="934" spans="1:8" ht="21.75" customHeight="1">
      <c r="A934" s="1" t="str">
        <f>"1208180017825638"</f>
        <v>1208180017825638</v>
      </c>
      <c r="B934" s="1" t="s">
        <v>3546</v>
      </c>
      <c r="C934" s="1" t="s">
        <v>3547</v>
      </c>
      <c r="D934" s="1"/>
      <c r="E934" s="1"/>
      <c r="F934" s="1" t="s">
        <v>3436</v>
      </c>
      <c r="G934" s="1">
        <v>501503</v>
      </c>
      <c r="H934" s="1">
        <v>1.5</v>
      </c>
    </row>
    <row r="935" spans="1:8" ht="21.75" customHeight="1">
      <c r="A935" s="1" t="str">
        <f>"1204920002374154"</f>
        <v>1204920002374154</v>
      </c>
      <c r="B935" s="1" t="s">
        <v>3548</v>
      </c>
      <c r="C935" s="1" t="s">
        <v>3549</v>
      </c>
      <c r="D935" s="1" t="s">
        <v>3550</v>
      </c>
      <c r="E935" s="1" t="s">
        <v>410</v>
      </c>
      <c r="F935" s="1" t="s">
        <v>3436</v>
      </c>
      <c r="G935" s="1">
        <v>501505</v>
      </c>
      <c r="H935" s="1">
        <v>0.75</v>
      </c>
    </row>
    <row r="936" spans="1:8" ht="21.75" customHeight="1">
      <c r="A936" s="1" t="str">
        <f>"IN30429514470357"</f>
        <v>IN30429514470357</v>
      </c>
      <c r="B936" s="1" t="s">
        <v>3551</v>
      </c>
      <c r="C936" s="1" t="s">
        <v>3552</v>
      </c>
      <c r="D936" s="1" t="s">
        <v>3553</v>
      </c>
      <c r="E936" s="1" t="s">
        <v>3554</v>
      </c>
      <c r="F936" s="1"/>
      <c r="G936" s="1">
        <v>502001</v>
      </c>
      <c r="H936" s="1">
        <v>0.75</v>
      </c>
    </row>
    <row r="937" spans="1:8" ht="21.75" customHeight="1">
      <c r="A937" s="1" t="str">
        <f>"1208160026270856"</f>
        <v>1208160026270856</v>
      </c>
      <c r="B937" s="1" t="s">
        <v>3555</v>
      </c>
      <c r="C937" s="1" t="s">
        <v>3556</v>
      </c>
      <c r="D937" s="1" t="s">
        <v>3557</v>
      </c>
      <c r="E937" s="1"/>
      <c r="F937" s="1" t="s">
        <v>3554</v>
      </c>
      <c r="G937" s="1">
        <v>502032</v>
      </c>
      <c r="H937" s="1">
        <v>1.5</v>
      </c>
    </row>
    <row r="938" spans="1:8" ht="21.75" customHeight="1">
      <c r="A938" s="1" t="str">
        <f>"1208160001386881"</f>
        <v>1208160001386881</v>
      </c>
      <c r="B938" s="1" t="s">
        <v>3559</v>
      </c>
      <c r="C938" s="1" t="s">
        <v>3560</v>
      </c>
      <c r="D938" s="1" t="s">
        <v>3561</v>
      </c>
      <c r="E938" s="1"/>
      <c r="F938" s="1" t="s">
        <v>3558</v>
      </c>
      <c r="G938" s="1">
        <v>502114</v>
      </c>
      <c r="H938" s="1">
        <v>75.75</v>
      </c>
    </row>
    <row r="939" spans="1:8" ht="21.75" customHeight="1">
      <c r="A939" s="1" t="str">
        <f>"IN30163741544499"</f>
        <v>IN30163741544499</v>
      </c>
      <c r="B939" s="1" t="s">
        <v>3562</v>
      </c>
      <c r="C939" s="1" t="s">
        <v>3563</v>
      </c>
      <c r="D939" s="1" t="s">
        <v>3564</v>
      </c>
      <c r="E939" s="1" t="s">
        <v>3565</v>
      </c>
      <c r="F939" s="1"/>
      <c r="G939" s="1">
        <v>502291</v>
      </c>
      <c r="H939" s="1">
        <v>990</v>
      </c>
    </row>
    <row r="940" spans="1:8" ht="21.75" customHeight="1">
      <c r="A940" s="1" t="str">
        <f>"IN30021420695529"</f>
        <v>IN30021420695529</v>
      </c>
      <c r="B940" s="1" t="s">
        <v>3566</v>
      </c>
      <c r="C940" s="1" t="s">
        <v>3567</v>
      </c>
      <c r="D940" s="1" t="s">
        <v>3568</v>
      </c>
      <c r="E940" s="1" t="s">
        <v>3569</v>
      </c>
      <c r="F940" s="1"/>
      <c r="G940" s="1">
        <v>502300</v>
      </c>
      <c r="H940" s="1">
        <v>0.75</v>
      </c>
    </row>
    <row r="941" spans="1:8" ht="21.75" customHeight="1">
      <c r="A941" s="1" t="str">
        <f>"1203320055853805"</f>
        <v>1203320055853805</v>
      </c>
      <c r="B941" s="1" t="s">
        <v>3570</v>
      </c>
      <c r="C941" s="1" t="s">
        <v>3571</v>
      </c>
      <c r="D941" s="1" t="s">
        <v>3558</v>
      </c>
      <c r="E941" s="1"/>
      <c r="F941" s="1" t="s">
        <v>3558</v>
      </c>
      <c r="G941" s="1">
        <v>502314</v>
      </c>
      <c r="H941" s="1">
        <v>0.75</v>
      </c>
    </row>
    <row r="942" spans="1:8" ht="21.75" customHeight="1">
      <c r="A942" s="1" t="str">
        <f>"1203320059530658"</f>
        <v>1203320059530658</v>
      </c>
      <c r="B942" s="1" t="s">
        <v>3572</v>
      </c>
      <c r="C942" s="1" t="s">
        <v>3573</v>
      </c>
      <c r="D942" s="1" t="s">
        <v>3574</v>
      </c>
      <c r="E942" s="1" t="s">
        <v>3575</v>
      </c>
      <c r="F942" s="1" t="s">
        <v>302</v>
      </c>
      <c r="G942" s="1">
        <v>503111</v>
      </c>
      <c r="H942" s="1">
        <v>37.5</v>
      </c>
    </row>
    <row r="943" spans="1:8" ht="21.75" customHeight="1">
      <c r="A943" s="1" t="str">
        <f>"1203330001039662"</f>
        <v>1203330001039662</v>
      </c>
      <c r="B943" s="1" t="s">
        <v>3576</v>
      </c>
      <c r="C943" s="1" t="s">
        <v>3577</v>
      </c>
      <c r="D943" s="1" t="s">
        <v>3578</v>
      </c>
      <c r="E943" s="1"/>
      <c r="F943" s="1" t="s">
        <v>313</v>
      </c>
      <c r="G943" s="1">
        <v>504208</v>
      </c>
      <c r="H943" s="1">
        <v>11.25</v>
      </c>
    </row>
    <row r="944" spans="1:8" ht="21.75" customHeight="1">
      <c r="A944" s="1" t="str">
        <f>"1208160055851801"</f>
        <v>1208160055851801</v>
      </c>
      <c r="B944" s="1" t="s">
        <v>3579</v>
      </c>
      <c r="C944" s="1" t="s">
        <v>3580</v>
      </c>
      <c r="D944" s="1"/>
      <c r="E944" s="1"/>
      <c r="F944" s="1" t="s">
        <v>314</v>
      </c>
      <c r="G944" s="1">
        <v>505212</v>
      </c>
      <c r="H944" s="1">
        <v>7.5</v>
      </c>
    </row>
    <row r="945" spans="1:8" ht="21.75" customHeight="1">
      <c r="A945" s="1" t="str">
        <f>"1204920004803339"</f>
        <v>1204920004803339</v>
      </c>
      <c r="B945" s="1" t="s">
        <v>3581</v>
      </c>
      <c r="C945" s="1" t="s">
        <v>3582</v>
      </c>
      <c r="D945" s="1" t="s">
        <v>3583</v>
      </c>
      <c r="E945" s="1"/>
      <c r="F945" s="1" t="s">
        <v>314</v>
      </c>
      <c r="G945" s="1">
        <v>505305</v>
      </c>
      <c r="H945" s="1">
        <v>0.75</v>
      </c>
    </row>
    <row r="946" spans="1:8" ht="21.75" customHeight="1">
      <c r="A946" s="1" t="str">
        <f>"IN30429514815266"</f>
        <v>IN30429514815266</v>
      </c>
      <c r="B946" s="1" t="s">
        <v>3584</v>
      </c>
      <c r="C946" s="1" t="s">
        <v>3585</v>
      </c>
      <c r="D946" s="1" t="s">
        <v>3586</v>
      </c>
      <c r="E946" s="1" t="s">
        <v>314</v>
      </c>
      <c r="F946" s="1"/>
      <c r="G946" s="1">
        <v>505403</v>
      </c>
      <c r="H946" s="1">
        <v>3</v>
      </c>
    </row>
    <row r="947" spans="1:8" ht="21.75" customHeight="1">
      <c r="A947" s="1" t="str">
        <f>"1204920003059774"</f>
        <v>1204920003059774</v>
      </c>
      <c r="B947" s="1" t="s">
        <v>3587</v>
      </c>
      <c r="C947" s="1" t="s">
        <v>3588</v>
      </c>
      <c r="D947" s="1" t="s">
        <v>3564</v>
      </c>
      <c r="E947" s="1"/>
      <c r="F947" s="1" t="s">
        <v>314</v>
      </c>
      <c r="G947" s="1">
        <v>505404</v>
      </c>
      <c r="H947" s="1">
        <v>0.75</v>
      </c>
    </row>
    <row r="948" spans="1:8" ht="21.75" customHeight="1">
      <c r="A948" s="1" t="str">
        <f>"1204470004160470"</f>
        <v>1204470004160470</v>
      </c>
      <c r="B948" s="1" t="s">
        <v>3589</v>
      </c>
      <c r="C948" s="1" t="s">
        <v>3590</v>
      </c>
      <c r="D948" s="1" t="s">
        <v>3591</v>
      </c>
      <c r="E948" s="1"/>
      <c r="F948" s="1" t="s">
        <v>314</v>
      </c>
      <c r="G948" s="1">
        <v>505532</v>
      </c>
      <c r="H948" s="1">
        <v>75</v>
      </c>
    </row>
    <row r="949" spans="1:8" ht="21.75" customHeight="1">
      <c r="A949" s="1" t="str">
        <f>"1204920002437032"</f>
        <v>1204920002437032</v>
      </c>
      <c r="B949" s="1" t="s">
        <v>3593</v>
      </c>
      <c r="C949" s="1" t="s">
        <v>3594</v>
      </c>
      <c r="D949" s="1" t="s">
        <v>3595</v>
      </c>
      <c r="E949" s="1" t="s">
        <v>3592</v>
      </c>
      <c r="F949" s="1" t="s">
        <v>3592</v>
      </c>
      <c r="G949" s="1">
        <v>506303</v>
      </c>
      <c r="H949" s="1">
        <v>0.75</v>
      </c>
    </row>
    <row r="950" spans="1:8" ht="21.75" customHeight="1">
      <c r="A950" s="1" t="str">
        <f>"1204920002356504"</f>
        <v>1204920002356504</v>
      </c>
      <c r="B950" s="1" t="s">
        <v>3597</v>
      </c>
      <c r="C950" s="1" t="s">
        <v>3598</v>
      </c>
      <c r="D950" s="1"/>
      <c r="E950" s="1" t="s">
        <v>410</v>
      </c>
      <c r="F950" s="1" t="s">
        <v>3596</v>
      </c>
      <c r="G950" s="1">
        <v>507111</v>
      </c>
      <c r="H950" s="1">
        <v>0.75</v>
      </c>
    </row>
    <row r="951" spans="1:8" ht="21.75" customHeight="1">
      <c r="A951" s="1" t="str">
        <f>"1208160007081961"</f>
        <v>1208160007081961</v>
      </c>
      <c r="B951" s="1" t="s">
        <v>3599</v>
      </c>
      <c r="C951" s="1" t="s">
        <v>3600</v>
      </c>
      <c r="D951" s="1" t="s">
        <v>3601</v>
      </c>
      <c r="E951" s="1" t="s">
        <v>3602</v>
      </c>
      <c r="F951" s="1" t="s">
        <v>3603</v>
      </c>
      <c r="G951" s="1">
        <v>507115</v>
      </c>
      <c r="H951" s="1">
        <v>75</v>
      </c>
    </row>
    <row r="952" spans="1:8" ht="21.75" customHeight="1">
      <c r="A952" s="1" t="str">
        <f>"1204920002396881"</f>
        <v>1204920002396881</v>
      </c>
      <c r="B952" s="1" t="s">
        <v>3605</v>
      </c>
      <c r="C952" s="1" t="s">
        <v>3606</v>
      </c>
      <c r="D952" s="1" t="s">
        <v>3607</v>
      </c>
      <c r="E952" s="1" t="s">
        <v>3608</v>
      </c>
      <c r="F952" s="1" t="s">
        <v>3604</v>
      </c>
      <c r="G952" s="1">
        <v>508206</v>
      </c>
      <c r="H952" s="1">
        <v>7.5</v>
      </c>
    </row>
    <row r="953" spans="1:8" ht="21.75" customHeight="1">
      <c r="A953" s="1" t="str">
        <f>"IN30429527724433"</f>
        <v>IN30429527724433</v>
      </c>
      <c r="B953" s="1" t="s">
        <v>3609</v>
      </c>
      <c r="C953" s="1" t="s">
        <v>3610</v>
      </c>
      <c r="D953" s="1" t="s">
        <v>3611</v>
      </c>
      <c r="E953" s="1" t="s">
        <v>3612</v>
      </c>
      <c r="F953" s="1"/>
      <c r="G953" s="1">
        <v>508213</v>
      </c>
      <c r="H953" s="1">
        <v>0.75</v>
      </c>
    </row>
    <row r="954" spans="1:8" ht="21.75" customHeight="1">
      <c r="A954" s="1" t="str">
        <f>"IN30223611457760"</f>
        <v>IN30223611457760</v>
      </c>
      <c r="B954" s="1" t="s">
        <v>3614</v>
      </c>
      <c r="C954" s="1" t="s">
        <v>3615</v>
      </c>
      <c r="D954" s="1" t="s">
        <v>3616</v>
      </c>
      <c r="E954" s="1" t="s">
        <v>3617</v>
      </c>
      <c r="F954" s="1"/>
      <c r="G954" s="1">
        <v>508243</v>
      </c>
      <c r="H954" s="1">
        <v>75</v>
      </c>
    </row>
    <row r="955" spans="1:8" ht="21.75" customHeight="1">
      <c r="A955" s="1" t="str">
        <f>"IN30177420284632"</f>
        <v>IN30177420284632</v>
      </c>
      <c r="B955" s="1" t="s">
        <v>3618</v>
      </c>
      <c r="C955" s="1" t="s">
        <v>3619</v>
      </c>
      <c r="D955" s="1" t="s">
        <v>3620</v>
      </c>
      <c r="E955" s="1" t="s">
        <v>3604</v>
      </c>
      <c r="F955" s="1"/>
      <c r="G955" s="1">
        <v>508253</v>
      </c>
      <c r="H955" s="1">
        <v>120</v>
      </c>
    </row>
    <row r="956" spans="1:8" ht="21.75" customHeight="1">
      <c r="A956" s="1" t="str">
        <f>"1208180044398278"</f>
        <v>1208180044398278</v>
      </c>
      <c r="B956" s="1" t="s">
        <v>3621</v>
      </c>
      <c r="C956" s="1" t="s">
        <v>3622</v>
      </c>
      <c r="D956" s="1" t="s">
        <v>3623</v>
      </c>
      <c r="E956" s="1"/>
      <c r="F956" s="1" t="s">
        <v>3604</v>
      </c>
      <c r="G956" s="1">
        <v>508286</v>
      </c>
      <c r="H956" s="1">
        <v>0.75</v>
      </c>
    </row>
    <row r="957" spans="1:8" ht="21.75" customHeight="1">
      <c r="A957" s="1" t="str">
        <f>"IN30051380765178"</f>
        <v>IN30051380765178</v>
      </c>
      <c r="B957" s="1" t="s">
        <v>3624</v>
      </c>
      <c r="C957" s="1" t="s">
        <v>3625</v>
      </c>
      <c r="D957" s="1" t="s">
        <v>3626</v>
      </c>
      <c r="E957" s="1" t="s">
        <v>3627</v>
      </c>
      <c r="F957" s="1"/>
      <c r="G957" s="1">
        <v>509001</v>
      </c>
      <c r="H957" s="1">
        <v>35.25</v>
      </c>
    </row>
    <row r="958" spans="1:8" ht="21.75" customHeight="1">
      <c r="A958" s="1" t="str">
        <f>"1208160018874037"</f>
        <v>1208160018874037</v>
      </c>
      <c r="B958" s="1" t="s">
        <v>3628</v>
      </c>
      <c r="C958" s="1" t="s">
        <v>3629</v>
      </c>
      <c r="D958" s="1" t="s">
        <v>3630</v>
      </c>
      <c r="E958" s="1"/>
      <c r="F958" s="1" t="s">
        <v>3502</v>
      </c>
      <c r="G958" s="1">
        <v>509371</v>
      </c>
      <c r="H958" s="1">
        <v>8.25</v>
      </c>
    </row>
    <row r="959" spans="1:8" ht="21.75" customHeight="1">
      <c r="A959" s="1" t="str">
        <f>"1203600005777253"</f>
        <v>1203600005777253</v>
      </c>
      <c r="B959" s="1" t="s">
        <v>3632</v>
      </c>
      <c r="C959" s="1" t="s">
        <v>3633</v>
      </c>
      <c r="D959" s="1"/>
      <c r="E959" s="1"/>
      <c r="F959" s="1" t="s">
        <v>3631</v>
      </c>
      <c r="G959" s="1">
        <v>515001</v>
      </c>
      <c r="H959" s="1">
        <v>1500</v>
      </c>
    </row>
    <row r="960" spans="1:8" ht="21.75" customHeight="1">
      <c r="A960" s="1" t="str">
        <f>"1208180017514971"</f>
        <v>1208180017514971</v>
      </c>
      <c r="B960" s="1" t="s">
        <v>3634</v>
      </c>
      <c r="C960" s="1" t="s">
        <v>3635</v>
      </c>
      <c r="D960" s="1" t="s">
        <v>3636</v>
      </c>
      <c r="E960" s="1" t="s">
        <v>3637</v>
      </c>
      <c r="F960" s="1" t="s">
        <v>3631</v>
      </c>
      <c r="G960" s="1">
        <v>515001</v>
      </c>
      <c r="H960" s="1">
        <v>2.25</v>
      </c>
    </row>
    <row r="961" spans="1:8" ht="21.75" customHeight="1">
      <c r="A961" s="1" t="str">
        <f>"1204470005376598"</f>
        <v>1204470005376598</v>
      </c>
      <c r="B961" s="1" t="s">
        <v>3638</v>
      </c>
      <c r="C961" s="1" t="s">
        <v>3639</v>
      </c>
      <c r="D961" s="1" t="s">
        <v>3640</v>
      </c>
      <c r="E961" s="1"/>
      <c r="F961" s="1" t="s">
        <v>3631</v>
      </c>
      <c r="G961" s="1">
        <v>515001</v>
      </c>
      <c r="H961" s="1">
        <v>0.75</v>
      </c>
    </row>
    <row r="962" spans="1:8" ht="21.75" customHeight="1">
      <c r="A962" s="1" t="str">
        <f>"1208160068319219"</f>
        <v>1208160068319219</v>
      </c>
      <c r="B962" s="1" t="s">
        <v>3641</v>
      </c>
      <c r="C962" s="1" t="s">
        <v>3642</v>
      </c>
      <c r="D962" s="1"/>
      <c r="E962" s="1"/>
      <c r="F962" s="1" t="s">
        <v>3631</v>
      </c>
      <c r="G962" s="1">
        <v>515711</v>
      </c>
      <c r="H962" s="1">
        <v>18.75</v>
      </c>
    </row>
    <row r="963" spans="1:8" ht="21.75" customHeight="1">
      <c r="A963" s="1" t="str">
        <f>"1208180011967590"</f>
        <v>1208180011967590</v>
      </c>
      <c r="B963" s="1" t="s">
        <v>3643</v>
      </c>
      <c r="C963" s="1" t="s">
        <v>3644</v>
      </c>
      <c r="D963" s="1" t="s">
        <v>3645</v>
      </c>
      <c r="E963" s="1"/>
      <c r="F963" s="1" t="s">
        <v>3631</v>
      </c>
      <c r="G963" s="1">
        <v>515801</v>
      </c>
      <c r="H963" s="1">
        <v>80.25</v>
      </c>
    </row>
    <row r="964" spans="1:8" ht="21.75" customHeight="1">
      <c r="A964" s="1" t="str">
        <f>"1204920002214129"</f>
        <v>1204920002214129</v>
      </c>
      <c r="B964" s="1" t="s">
        <v>3646</v>
      </c>
      <c r="C964" s="1" t="s">
        <v>3647</v>
      </c>
      <c r="D964" s="1" t="s">
        <v>3648</v>
      </c>
      <c r="E964" s="1" t="s">
        <v>3649</v>
      </c>
      <c r="F964" s="1" t="s">
        <v>3650</v>
      </c>
      <c r="G964" s="1">
        <v>516003</v>
      </c>
      <c r="H964" s="1">
        <v>0.75</v>
      </c>
    </row>
    <row r="965" spans="1:8" ht="21.75" customHeight="1">
      <c r="A965" s="1" t="str">
        <f>"1208180012709626"</f>
        <v>1208180012709626</v>
      </c>
      <c r="B965" s="1" t="s">
        <v>3651</v>
      </c>
      <c r="C965" s="1" t="s">
        <v>3652</v>
      </c>
      <c r="D965" s="1" t="s">
        <v>3653</v>
      </c>
      <c r="E965" s="1" t="s">
        <v>3654</v>
      </c>
      <c r="F965" s="1" t="s">
        <v>3650</v>
      </c>
      <c r="G965" s="1">
        <v>516130</v>
      </c>
      <c r="H965" s="1">
        <v>3</v>
      </c>
    </row>
    <row r="966" spans="1:8" ht="21.75" customHeight="1">
      <c r="A966" s="1" t="str">
        <f>"1208180008696673"</f>
        <v>1208180008696673</v>
      </c>
      <c r="B966" s="1" t="s">
        <v>3656</v>
      </c>
      <c r="C966" s="1" t="s">
        <v>3657</v>
      </c>
      <c r="D966" s="1" t="s">
        <v>3658</v>
      </c>
      <c r="E966" s="1"/>
      <c r="F966" s="1" t="s">
        <v>3650</v>
      </c>
      <c r="G966" s="1">
        <v>516162</v>
      </c>
      <c r="H966" s="1">
        <v>60</v>
      </c>
    </row>
    <row r="967" spans="1:8" ht="21.75" customHeight="1">
      <c r="A967" s="1" t="str">
        <f>"IN30307710754632"</f>
        <v>IN30307710754632</v>
      </c>
      <c r="B967" s="1" t="s">
        <v>3659</v>
      </c>
      <c r="C967" s="1" t="s">
        <v>3660</v>
      </c>
      <c r="D967" s="1" t="s">
        <v>3661</v>
      </c>
      <c r="E967" s="1" t="s">
        <v>3662</v>
      </c>
      <c r="F967" s="1"/>
      <c r="G967" s="1">
        <v>516360</v>
      </c>
      <c r="H967" s="1">
        <v>7.5</v>
      </c>
    </row>
    <row r="968" spans="1:8" ht="21.75" customHeight="1">
      <c r="A968" s="1" t="str">
        <f>"1208160018409569"</f>
        <v>1208160018409569</v>
      </c>
      <c r="B968" s="1" t="s">
        <v>3664</v>
      </c>
      <c r="C968" s="1" t="s">
        <v>3665</v>
      </c>
      <c r="D968" s="1" t="s">
        <v>3663</v>
      </c>
      <c r="E968" s="1"/>
      <c r="F968" s="1" t="s">
        <v>3663</v>
      </c>
      <c r="G968" s="1">
        <v>517001</v>
      </c>
      <c r="H968" s="1">
        <v>0.75</v>
      </c>
    </row>
    <row r="969" spans="1:8" ht="21.75" customHeight="1">
      <c r="A969" s="1" t="str">
        <f>"IN30429524235195"</f>
        <v>IN30429524235195</v>
      </c>
      <c r="B969" s="1" t="s">
        <v>3666</v>
      </c>
      <c r="C969" s="1" t="s">
        <v>3667</v>
      </c>
      <c r="D969" s="1" t="s">
        <v>3668</v>
      </c>
      <c r="E969" s="1" t="s">
        <v>3669</v>
      </c>
      <c r="F969" s="1"/>
      <c r="G969" s="1">
        <v>517002</v>
      </c>
      <c r="H969" s="1">
        <v>0.75</v>
      </c>
    </row>
    <row r="970" spans="1:8" ht="21.75" customHeight="1">
      <c r="A970" s="1" t="str">
        <f>"1208870025965037"</f>
        <v>1208870025965037</v>
      </c>
      <c r="B970" s="1" t="s">
        <v>3670</v>
      </c>
      <c r="C970" s="1" t="s">
        <v>3671</v>
      </c>
      <c r="D970" s="1" t="s">
        <v>3672</v>
      </c>
      <c r="E970" s="1" t="s">
        <v>3673</v>
      </c>
      <c r="F970" s="1" t="s">
        <v>3663</v>
      </c>
      <c r="G970" s="1">
        <v>517582</v>
      </c>
      <c r="H970" s="1">
        <v>7.5</v>
      </c>
    </row>
    <row r="971" spans="1:8" ht="21.75" customHeight="1">
      <c r="A971" s="1" t="str">
        <f>"1206730000007761"</f>
        <v>1206730000007761</v>
      </c>
      <c r="B971" s="1" t="s">
        <v>3675</v>
      </c>
      <c r="C971" s="1" t="s">
        <v>3676</v>
      </c>
      <c r="D971" s="1" t="s">
        <v>3677</v>
      </c>
      <c r="E971" s="1" t="s">
        <v>3678</v>
      </c>
      <c r="F971" s="1" t="s">
        <v>3674</v>
      </c>
      <c r="G971" s="1">
        <v>518001</v>
      </c>
      <c r="H971" s="1">
        <v>1.5</v>
      </c>
    </row>
    <row r="972" spans="1:8" ht="21.75" customHeight="1">
      <c r="A972" s="1" t="str">
        <f>"IN30226913334150"</f>
        <v>IN30226913334150</v>
      </c>
      <c r="B972" s="1" t="s">
        <v>3679</v>
      </c>
      <c r="C972" s="1" t="s">
        <v>3680</v>
      </c>
      <c r="D972" s="1" t="s">
        <v>3674</v>
      </c>
      <c r="E972" s="1" t="s">
        <v>3681</v>
      </c>
      <c r="F972" s="1"/>
      <c r="G972" s="1">
        <v>518002</v>
      </c>
      <c r="H972" s="1">
        <v>0.75</v>
      </c>
    </row>
    <row r="973" spans="1:8" ht="21.75" customHeight="1">
      <c r="A973" s="1" t="str">
        <f>"1201090005204709"</f>
        <v>1201090005204709</v>
      </c>
      <c r="B973" s="1" t="s">
        <v>3682</v>
      </c>
      <c r="C973" s="1" t="s">
        <v>3683</v>
      </c>
      <c r="D973" s="1" t="s">
        <v>3684</v>
      </c>
      <c r="E973" s="1" t="s">
        <v>3685</v>
      </c>
      <c r="F973" s="1" t="s">
        <v>3674</v>
      </c>
      <c r="G973" s="1">
        <v>518004</v>
      </c>
      <c r="H973" s="1">
        <v>75</v>
      </c>
    </row>
    <row r="974" spans="1:8" ht="21.75" customHeight="1">
      <c r="A974" s="1" t="str">
        <f>"1208870023428069"</f>
        <v>1208870023428069</v>
      </c>
      <c r="B974" s="1" t="s">
        <v>3686</v>
      </c>
      <c r="C974" s="1" t="s">
        <v>3687</v>
      </c>
      <c r="D974" s="1" t="s">
        <v>410</v>
      </c>
      <c r="E974" s="1" t="s">
        <v>410</v>
      </c>
      <c r="F974" s="1" t="s">
        <v>3674</v>
      </c>
      <c r="G974" s="1">
        <v>518196</v>
      </c>
      <c r="H974" s="1">
        <v>0.75</v>
      </c>
    </row>
    <row r="975" spans="1:8" ht="21.75" customHeight="1">
      <c r="A975" s="1" t="str">
        <f>"1208160078754554"</f>
        <v>1208160078754554</v>
      </c>
      <c r="B975" s="1" t="s">
        <v>3688</v>
      </c>
      <c r="C975" s="1" t="s">
        <v>3689</v>
      </c>
      <c r="D975" s="1"/>
      <c r="E975" s="1"/>
      <c r="F975" s="1" t="s">
        <v>3690</v>
      </c>
      <c r="G975" s="1">
        <v>518301</v>
      </c>
      <c r="H975" s="1">
        <v>2.25</v>
      </c>
    </row>
    <row r="976" spans="1:8" ht="21.75" customHeight="1">
      <c r="A976" s="1" t="str">
        <f>"1201090009676664"</f>
        <v>1201090009676664</v>
      </c>
      <c r="B976" s="1" t="s">
        <v>3691</v>
      </c>
      <c r="C976" s="1" t="s">
        <v>3692</v>
      </c>
      <c r="D976" s="1" t="s">
        <v>3693</v>
      </c>
      <c r="E976" s="1" t="s">
        <v>3674</v>
      </c>
      <c r="F976" s="1" t="s">
        <v>3690</v>
      </c>
      <c r="G976" s="1">
        <v>518301</v>
      </c>
      <c r="H976" s="1">
        <v>375</v>
      </c>
    </row>
    <row r="977" spans="1:8" ht="21.75" customHeight="1">
      <c r="A977" s="1" t="str">
        <f>"1201090008187577"</f>
        <v>1201090008187577</v>
      </c>
      <c r="B977" s="1" t="s">
        <v>3694</v>
      </c>
      <c r="C977" s="1" t="s">
        <v>3695</v>
      </c>
      <c r="D977" s="1" t="s">
        <v>3696</v>
      </c>
      <c r="E977" s="1" t="s">
        <v>3697</v>
      </c>
      <c r="F977" s="1" t="s">
        <v>3690</v>
      </c>
      <c r="G977" s="1">
        <v>518301</v>
      </c>
      <c r="H977" s="1">
        <v>375</v>
      </c>
    </row>
    <row r="978" spans="1:8" ht="21.75" customHeight="1">
      <c r="A978" s="1" t="str">
        <f>"1208180022204820"</f>
        <v>1208180022204820</v>
      </c>
      <c r="B978" s="1" t="s">
        <v>3698</v>
      </c>
      <c r="C978" s="1" t="s">
        <v>3699</v>
      </c>
      <c r="D978" s="1" t="s">
        <v>3700</v>
      </c>
      <c r="E978" s="1"/>
      <c r="F978" s="1" t="s">
        <v>3674</v>
      </c>
      <c r="G978" s="1">
        <v>518501</v>
      </c>
      <c r="H978" s="1">
        <v>22.5</v>
      </c>
    </row>
    <row r="979" spans="1:8" ht="21.75" customHeight="1">
      <c r="A979" s="1" t="str">
        <f>"1204470003143964"</f>
        <v>1204470003143964</v>
      </c>
      <c r="B979" s="1" t="s">
        <v>3701</v>
      </c>
      <c r="C979" s="1" t="s">
        <v>3702</v>
      </c>
      <c r="D979" s="1" t="s">
        <v>3703</v>
      </c>
      <c r="E979" s="1" t="s">
        <v>3704</v>
      </c>
      <c r="F979" s="1" t="s">
        <v>3674</v>
      </c>
      <c r="G979" s="1">
        <v>518501</v>
      </c>
      <c r="H979" s="1">
        <v>7.5</v>
      </c>
    </row>
    <row r="980" spans="1:8" ht="21.75" customHeight="1">
      <c r="A980" s="1" t="str">
        <f>"IN30389210032500"</f>
        <v>IN30389210032500</v>
      </c>
      <c r="B980" s="1" t="s">
        <v>3706</v>
      </c>
      <c r="C980" s="1" t="s">
        <v>3707</v>
      </c>
      <c r="D980" s="1" t="s">
        <v>3708</v>
      </c>
      <c r="E980" s="1" t="s">
        <v>3709</v>
      </c>
      <c r="F980" s="1"/>
      <c r="G980" s="1">
        <v>518501</v>
      </c>
      <c r="H980" s="1">
        <v>0.75</v>
      </c>
    </row>
    <row r="981" spans="1:8" ht="21.75" customHeight="1">
      <c r="A981" s="1" t="str">
        <f>"1203320065902785"</f>
        <v>1203320065902785</v>
      </c>
      <c r="B981" s="1" t="s">
        <v>3710</v>
      </c>
      <c r="C981" s="1" t="s">
        <v>3711</v>
      </c>
      <c r="D981" s="1" t="s">
        <v>3712</v>
      </c>
      <c r="E981" s="1" t="s">
        <v>3713</v>
      </c>
      <c r="F981" s="1" t="s">
        <v>903</v>
      </c>
      <c r="G981" s="1">
        <v>520011</v>
      </c>
      <c r="H981" s="1">
        <v>0.75</v>
      </c>
    </row>
    <row r="982" spans="1:8" ht="21.75" customHeight="1">
      <c r="A982" s="1" t="str">
        <f>"IN30039412104384"</f>
        <v>IN30039412104384</v>
      </c>
      <c r="B982" s="1" t="s">
        <v>3714</v>
      </c>
      <c r="C982" s="1" t="s">
        <v>3715</v>
      </c>
      <c r="D982" s="1" t="s">
        <v>3716</v>
      </c>
      <c r="E982" s="1" t="s">
        <v>3717</v>
      </c>
      <c r="F982" s="1"/>
      <c r="G982" s="1">
        <v>520015</v>
      </c>
      <c r="H982" s="1">
        <v>75</v>
      </c>
    </row>
    <row r="983" spans="1:8" ht="21.75" customHeight="1">
      <c r="A983" s="1" t="str">
        <f>"1208180002475711"</f>
        <v>1208180002475711</v>
      </c>
      <c r="B983" s="1" t="s">
        <v>3718</v>
      </c>
      <c r="C983" s="1" t="s">
        <v>3719</v>
      </c>
      <c r="D983" s="1" t="s">
        <v>3720</v>
      </c>
      <c r="E983" s="1"/>
      <c r="F983" s="1" t="s">
        <v>903</v>
      </c>
      <c r="G983" s="1">
        <v>521001</v>
      </c>
      <c r="H983" s="1">
        <v>1.5</v>
      </c>
    </row>
    <row r="984" spans="1:8" ht="21.75" customHeight="1">
      <c r="A984" s="1" t="str">
        <f>"IN30429525949780"</f>
        <v>IN30429525949780</v>
      </c>
      <c r="B984" s="1" t="s">
        <v>3721</v>
      </c>
      <c r="C984" s="1" t="s">
        <v>3722</v>
      </c>
      <c r="D984" s="1" t="s">
        <v>3723</v>
      </c>
      <c r="E984" s="1" t="s">
        <v>3724</v>
      </c>
      <c r="F984" s="1"/>
      <c r="G984" s="1">
        <v>521002</v>
      </c>
      <c r="H984" s="1">
        <v>0.75</v>
      </c>
    </row>
    <row r="985" spans="1:8" ht="21.75" customHeight="1">
      <c r="A985" s="1" t="str">
        <f>"1204920002497130"</f>
        <v>1204920002497130</v>
      </c>
      <c r="B985" s="1" t="s">
        <v>3725</v>
      </c>
      <c r="C985" s="1" t="s">
        <v>3726</v>
      </c>
      <c r="D985" s="1" t="s">
        <v>3727</v>
      </c>
      <c r="E985" s="1" t="s">
        <v>3728</v>
      </c>
      <c r="F985" s="1" t="s">
        <v>903</v>
      </c>
      <c r="G985" s="1">
        <v>521137</v>
      </c>
      <c r="H985" s="1">
        <v>0.75</v>
      </c>
    </row>
    <row r="986" spans="1:8" ht="21.75" customHeight="1">
      <c r="A986" s="1" t="str">
        <f>"1204920002498134"</f>
        <v>1204920002498134</v>
      </c>
      <c r="B986" s="1" t="s">
        <v>3729</v>
      </c>
      <c r="C986" s="1" t="s">
        <v>3730</v>
      </c>
      <c r="D986" s="1"/>
      <c r="E986" s="1" t="s">
        <v>3731</v>
      </c>
      <c r="F986" s="1" t="s">
        <v>903</v>
      </c>
      <c r="G986" s="1">
        <v>521301</v>
      </c>
      <c r="H986" s="1">
        <v>0.75</v>
      </c>
    </row>
    <row r="987" spans="1:8" ht="21.75" customHeight="1">
      <c r="A987" s="1" t="str">
        <f>"1208160028196224"</f>
        <v>1208160028196224</v>
      </c>
      <c r="B987" s="1" t="s">
        <v>3733</v>
      </c>
      <c r="C987" s="1" t="s">
        <v>3734</v>
      </c>
      <c r="D987" s="1" t="s">
        <v>410</v>
      </c>
      <c r="E987" s="1"/>
      <c r="F987" s="1" t="s">
        <v>3732</v>
      </c>
      <c r="G987" s="1">
        <v>522002</v>
      </c>
      <c r="H987" s="1">
        <v>22.5</v>
      </c>
    </row>
    <row r="988" spans="1:8" ht="21.75" customHeight="1">
      <c r="A988" s="1" t="str">
        <f>"1204920002397450"</f>
        <v>1204920002397450</v>
      </c>
      <c r="B988" s="1" t="s">
        <v>3735</v>
      </c>
      <c r="C988" s="1" t="s">
        <v>3736</v>
      </c>
      <c r="D988" s="1" t="s">
        <v>3737</v>
      </c>
      <c r="E988" s="1" t="s">
        <v>410</v>
      </c>
      <c r="F988" s="1" t="s">
        <v>3732</v>
      </c>
      <c r="G988" s="1">
        <v>522002</v>
      </c>
      <c r="H988" s="1">
        <v>0.75</v>
      </c>
    </row>
    <row r="989" spans="1:8" ht="21.75" customHeight="1">
      <c r="A989" s="1" t="str">
        <f>"IN30177419449193"</f>
        <v>IN30177419449193</v>
      </c>
      <c r="B989" s="1" t="s">
        <v>3738</v>
      </c>
      <c r="C989" s="1" t="s">
        <v>3739</v>
      </c>
      <c r="D989" s="1"/>
      <c r="E989" s="1" t="s">
        <v>3732</v>
      </c>
      <c r="F989" s="1"/>
      <c r="G989" s="1">
        <v>522002</v>
      </c>
      <c r="H989" s="1">
        <v>52.5</v>
      </c>
    </row>
    <row r="990" spans="1:8" ht="21.75" customHeight="1">
      <c r="A990" s="1" t="str">
        <f>"1204920002069538"</f>
        <v>1204920002069538</v>
      </c>
      <c r="B990" s="1" t="s">
        <v>3741</v>
      </c>
      <c r="C990" s="1" t="s">
        <v>3742</v>
      </c>
      <c r="D990" s="1" t="s">
        <v>3743</v>
      </c>
      <c r="E990" s="1" t="s">
        <v>3744</v>
      </c>
      <c r="F990" s="1" t="s">
        <v>3732</v>
      </c>
      <c r="G990" s="1">
        <v>522003</v>
      </c>
      <c r="H990" s="1">
        <v>3.75</v>
      </c>
    </row>
    <row r="991" spans="1:8" ht="21.75" customHeight="1">
      <c r="A991" s="1" t="str">
        <f>"IN30177414430534"</f>
        <v>IN30177414430534</v>
      </c>
      <c r="B991" s="1" t="s">
        <v>3746</v>
      </c>
      <c r="C991" s="1" t="s">
        <v>3747</v>
      </c>
      <c r="D991" s="1" t="s">
        <v>3748</v>
      </c>
      <c r="E991" s="1" t="s">
        <v>3732</v>
      </c>
      <c r="F991" s="1"/>
      <c r="G991" s="1">
        <v>522005</v>
      </c>
      <c r="H991" s="1">
        <v>75</v>
      </c>
    </row>
    <row r="992" spans="1:8" ht="21.75" customHeight="1">
      <c r="A992" s="1" t="str">
        <f>"1201090002130073"</f>
        <v>1201090002130073</v>
      </c>
      <c r="B992" s="1" t="s">
        <v>3749</v>
      </c>
      <c r="C992" s="1" t="s">
        <v>3750</v>
      </c>
      <c r="D992" s="1" t="s">
        <v>3751</v>
      </c>
      <c r="E992" s="1" t="s">
        <v>3752</v>
      </c>
      <c r="F992" s="1" t="s">
        <v>912</v>
      </c>
      <c r="G992" s="1">
        <v>522201</v>
      </c>
      <c r="H992" s="1">
        <v>7.5</v>
      </c>
    </row>
    <row r="993" spans="1:8" ht="21.75" customHeight="1">
      <c r="A993" s="1" t="str">
        <f>"1208160030492111"</f>
        <v>1208160030492111</v>
      </c>
      <c r="B993" s="1" t="s">
        <v>3753</v>
      </c>
      <c r="C993" s="1" t="s">
        <v>3754</v>
      </c>
      <c r="D993" s="1"/>
      <c r="E993" s="1"/>
      <c r="F993" s="1" t="s">
        <v>3732</v>
      </c>
      <c r="G993" s="1">
        <v>522413</v>
      </c>
      <c r="H993" s="1">
        <v>8.25</v>
      </c>
    </row>
    <row r="994" spans="1:8" ht="21.75" customHeight="1">
      <c r="A994" s="1" t="str">
        <f>"1204470006927842"</f>
        <v>1204470006927842</v>
      </c>
      <c r="B994" s="1" t="s">
        <v>3755</v>
      </c>
      <c r="C994" s="1" t="s">
        <v>3756</v>
      </c>
      <c r="D994" s="1" t="s">
        <v>3757</v>
      </c>
      <c r="E994" s="1" t="s">
        <v>3758</v>
      </c>
      <c r="F994" s="1" t="s">
        <v>3732</v>
      </c>
      <c r="G994" s="1">
        <v>522601</v>
      </c>
      <c r="H994" s="1">
        <v>27.75</v>
      </c>
    </row>
    <row r="995" spans="1:8" ht="21.75" customHeight="1">
      <c r="A995" s="1" t="str">
        <f>"IN30051315315602"</f>
        <v>IN30051315315602</v>
      </c>
      <c r="B995" s="1" t="s">
        <v>3759</v>
      </c>
      <c r="C995" s="1" t="s">
        <v>3760</v>
      </c>
      <c r="D995" s="1" t="s">
        <v>3761</v>
      </c>
      <c r="E995" s="1" t="s">
        <v>3762</v>
      </c>
      <c r="F995" s="1"/>
      <c r="G995" s="1">
        <v>522614</v>
      </c>
      <c r="H995" s="1">
        <v>15</v>
      </c>
    </row>
    <row r="996" spans="1:8" ht="21.75" customHeight="1">
      <c r="A996" s="1" t="str">
        <f>"1204920002166371"</f>
        <v>1204920002166371</v>
      </c>
      <c r="B996" s="1" t="s">
        <v>3763</v>
      </c>
      <c r="C996" s="1" t="s">
        <v>3764</v>
      </c>
      <c r="D996" s="1"/>
      <c r="E996" s="1"/>
      <c r="F996" s="1" t="s">
        <v>3732</v>
      </c>
      <c r="G996" s="1">
        <v>522615</v>
      </c>
      <c r="H996" s="1">
        <v>0.75</v>
      </c>
    </row>
    <row r="997" spans="1:8" ht="21.75" customHeight="1">
      <c r="A997" s="1" t="str">
        <f>"1208160065832308"</f>
        <v>1208160065832308</v>
      </c>
      <c r="B997" s="1" t="s">
        <v>3765</v>
      </c>
      <c r="C997" s="1" t="s">
        <v>3766</v>
      </c>
      <c r="D997" s="1"/>
      <c r="E997" s="1"/>
      <c r="F997" s="1" t="s">
        <v>3732</v>
      </c>
      <c r="G997" s="1">
        <v>522617</v>
      </c>
      <c r="H997" s="1">
        <v>90</v>
      </c>
    </row>
    <row r="998" spans="1:8" ht="21.75" customHeight="1">
      <c r="A998" s="1" t="str">
        <f>"1201090004773312"</f>
        <v>1201090004773312</v>
      </c>
      <c r="B998" s="1" t="s">
        <v>3767</v>
      </c>
      <c r="C998" s="1" t="s">
        <v>3768</v>
      </c>
      <c r="D998" s="1" t="s">
        <v>3769</v>
      </c>
      <c r="E998" s="1" t="s">
        <v>3770</v>
      </c>
      <c r="F998" s="1" t="s">
        <v>3740</v>
      </c>
      <c r="G998" s="1">
        <v>523002</v>
      </c>
      <c r="H998" s="1">
        <v>15</v>
      </c>
    </row>
    <row r="999" spans="1:8" ht="21.75" customHeight="1">
      <c r="A999" s="1" t="str">
        <f>"IN30429528864791"</f>
        <v>IN30429528864791</v>
      </c>
      <c r="B999" s="1" t="s">
        <v>3772</v>
      </c>
      <c r="C999" s="1" t="s">
        <v>3773</v>
      </c>
      <c r="D999" s="1" t="s">
        <v>3774</v>
      </c>
      <c r="E999" s="1" t="s">
        <v>3775</v>
      </c>
      <c r="F999" s="1"/>
      <c r="G999" s="1">
        <v>523226</v>
      </c>
      <c r="H999" s="1">
        <v>0.75</v>
      </c>
    </row>
    <row r="1000" spans="1:8" ht="21.75" customHeight="1">
      <c r="A1000" s="1" t="str">
        <f>"1203320074375191"</f>
        <v>1203320074375191</v>
      </c>
      <c r="B1000" s="1" t="s">
        <v>3776</v>
      </c>
      <c r="C1000" s="1" t="s">
        <v>3777</v>
      </c>
      <c r="D1000" s="1" t="s">
        <v>3778</v>
      </c>
      <c r="E1000" s="1"/>
      <c r="F1000" s="1" t="s">
        <v>3771</v>
      </c>
      <c r="G1000" s="1">
        <v>523264</v>
      </c>
      <c r="H1000" s="1">
        <v>1.5</v>
      </c>
    </row>
    <row r="1001" spans="1:8" ht="21.75" customHeight="1">
      <c r="A1001" s="1" t="str">
        <f>"1208160058372625"</f>
        <v>1208160058372625</v>
      </c>
      <c r="B1001" s="1" t="s">
        <v>3779</v>
      </c>
      <c r="C1001" s="1" t="s">
        <v>3780</v>
      </c>
      <c r="D1001" s="1" t="s">
        <v>3781</v>
      </c>
      <c r="E1001" s="1"/>
      <c r="F1001" s="1" t="s">
        <v>3771</v>
      </c>
      <c r="G1001" s="1">
        <v>523316</v>
      </c>
      <c r="H1001" s="1">
        <v>31.5</v>
      </c>
    </row>
    <row r="1002" spans="1:8" ht="21.75" customHeight="1">
      <c r="A1002" s="1" t="str">
        <f>"1203320026721676"</f>
        <v>1203320026721676</v>
      </c>
      <c r="B1002" s="1" t="s">
        <v>3782</v>
      </c>
      <c r="C1002" s="1" t="s">
        <v>3783</v>
      </c>
      <c r="D1002" s="1" t="s">
        <v>3784</v>
      </c>
      <c r="E1002" s="1" t="s">
        <v>3785</v>
      </c>
      <c r="F1002" s="1" t="s">
        <v>3771</v>
      </c>
      <c r="G1002" s="1">
        <v>523331</v>
      </c>
      <c r="H1002" s="1">
        <v>33.75</v>
      </c>
    </row>
    <row r="1003" spans="1:8" ht="21.75" customHeight="1">
      <c r="A1003" s="1" t="str">
        <f>"1208180007516955"</f>
        <v>1208180007516955</v>
      </c>
      <c r="B1003" s="1" t="s">
        <v>3786</v>
      </c>
      <c r="C1003" s="1" t="s">
        <v>3787</v>
      </c>
      <c r="D1003" s="1" t="s">
        <v>3788</v>
      </c>
      <c r="E1003" s="1"/>
      <c r="F1003" s="1" t="s">
        <v>3771</v>
      </c>
      <c r="G1003" s="1">
        <v>523373</v>
      </c>
      <c r="H1003" s="1">
        <v>0.75</v>
      </c>
    </row>
    <row r="1004" spans="1:8" ht="21.75" customHeight="1">
      <c r="A1004" s="1" t="str">
        <f>"1204920002396345"</f>
        <v>1204920002396345</v>
      </c>
      <c r="B1004" s="1" t="s">
        <v>3791</v>
      </c>
      <c r="C1004" s="1" t="s">
        <v>3792</v>
      </c>
      <c r="D1004" s="1" t="s">
        <v>3793</v>
      </c>
      <c r="E1004" s="1" t="s">
        <v>3794</v>
      </c>
      <c r="F1004" s="1" t="s">
        <v>3790</v>
      </c>
      <c r="G1004" s="1">
        <v>524002</v>
      </c>
      <c r="H1004" s="1">
        <v>0.75</v>
      </c>
    </row>
    <row r="1005" spans="1:8" ht="21.75" customHeight="1">
      <c r="A1005" s="1" t="str">
        <f>"IN30023915438917"</f>
        <v>IN30023915438917</v>
      </c>
      <c r="B1005" s="1" t="s">
        <v>3795</v>
      </c>
      <c r="C1005" s="1" t="s">
        <v>3796</v>
      </c>
      <c r="D1005" s="1" t="s">
        <v>3797</v>
      </c>
      <c r="E1005" s="1" t="s">
        <v>3798</v>
      </c>
      <c r="F1005" s="1"/>
      <c r="G1005" s="1">
        <v>524003</v>
      </c>
      <c r="H1005" s="1">
        <v>77.25</v>
      </c>
    </row>
    <row r="1006" spans="1:8" ht="21.75" customHeight="1">
      <c r="A1006" s="1" t="str">
        <f>"1204340000073897"</f>
        <v>1204340000073897</v>
      </c>
      <c r="B1006" s="1" t="s">
        <v>3799</v>
      </c>
      <c r="C1006" s="1" t="s">
        <v>3800</v>
      </c>
      <c r="D1006" s="1" t="s">
        <v>3801</v>
      </c>
      <c r="E1006" s="1" t="s">
        <v>3802</v>
      </c>
      <c r="F1006" s="1" t="s">
        <v>3790</v>
      </c>
      <c r="G1006" s="1">
        <v>524126</v>
      </c>
      <c r="H1006" s="1">
        <v>18.75</v>
      </c>
    </row>
    <row r="1007" spans="1:8" ht="21.75" customHeight="1">
      <c r="A1007" s="1" t="str">
        <f>"1203320066013171"</f>
        <v>1203320066013171</v>
      </c>
      <c r="B1007" s="1" t="s">
        <v>3803</v>
      </c>
      <c r="C1007" s="1" t="s">
        <v>3804</v>
      </c>
      <c r="D1007" s="1" t="s">
        <v>3805</v>
      </c>
      <c r="E1007" s="1"/>
      <c r="F1007" s="1" t="s">
        <v>3790</v>
      </c>
      <c r="G1007" s="1">
        <v>524137</v>
      </c>
      <c r="H1007" s="1">
        <v>10.5</v>
      </c>
    </row>
    <row r="1008" spans="1:8" ht="21.75" customHeight="1">
      <c r="A1008" s="1" t="str">
        <f>"1208160024146812"</f>
        <v>1208160024146812</v>
      </c>
      <c r="B1008" s="1" t="s">
        <v>3806</v>
      </c>
      <c r="C1008" s="1" t="s">
        <v>3807</v>
      </c>
      <c r="D1008" s="1" t="s">
        <v>3808</v>
      </c>
      <c r="E1008" s="1"/>
      <c r="F1008" s="1" t="s">
        <v>917</v>
      </c>
      <c r="G1008" s="1">
        <v>530001</v>
      </c>
      <c r="H1008" s="1">
        <v>1.5</v>
      </c>
    </row>
    <row r="1009" spans="1:8" ht="21.75" customHeight="1">
      <c r="A1009" s="1" t="str">
        <f>"IN30290247093438"</f>
        <v>IN30290247093438</v>
      </c>
      <c r="B1009" s="1" t="s">
        <v>3809</v>
      </c>
      <c r="C1009" s="1" t="s">
        <v>3810</v>
      </c>
      <c r="D1009" s="1" t="s">
        <v>3811</v>
      </c>
      <c r="E1009" s="1" t="s">
        <v>3812</v>
      </c>
      <c r="F1009" s="1"/>
      <c r="G1009" s="1">
        <v>530003</v>
      </c>
      <c r="H1009" s="1">
        <v>18.75</v>
      </c>
    </row>
    <row r="1010" spans="1:8" ht="21.75" customHeight="1">
      <c r="A1010" s="1" t="str">
        <f>"1203320014076483"</f>
        <v>1203320014076483</v>
      </c>
      <c r="B1010" s="1" t="s">
        <v>3813</v>
      </c>
      <c r="C1010" s="1" t="s">
        <v>3814</v>
      </c>
      <c r="D1010" s="1" t="s">
        <v>3815</v>
      </c>
      <c r="E1010" s="1" t="s">
        <v>3816</v>
      </c>
      <c r="F1010" s="1" t="s">
        <v>917</v>
      </c>
      <c r="G1010" s="1">
        <v>530012</v>
      </c>
      <c r="H1010" s="1">
        <v>7.5</v>
      </c>
    </row>
    <row r="1011" spans="1:8" ht="21.75" customHeight="1">
      <c r="A1011" s="1" t="str">
        <f>"1208940001590824"</f>
        <v>1208940001590824</v>
      </c>
      <c r="B1011" s="1" t="s">
        <v>3817</v>
      </c>
      <c r="C1011" s="1" t="s">
        <v>3818</v>
      </c>
      <c r="D1011" s="1" t="s">
        <v>917</v>
      </c>
      <c r="E1011" s="1" t="s">
        <v>917</v>
      </c>
      <c r="F1011" s="1" t="s">
        <v>917</v>
      </c>
      <c r="G1011" s="1">
        <v>530013</v>
      </c>
      <c r="H1011" s="1">
        <v>0.75</v>
      </c>
    </row>
    <row r="1012" spans="1:8" ht="21.75" customHeight="1">
      <c r="A1012" s="1" t="str">
        <f>"1207100000103834"</f>
        <v>1207100000103834</v>
      </c>
      <c r="B1012" s="1" t="s">
        <v>3819</v>
      </c>
      <c r="C1012" s="1" t="s">
        <v>3820</v>
      </c>
      <c r="D1012" s="1" t="s">
        <v>3821</v>
      </c>
      <c r="E1012" s="1" t="s">
        <v>3822</v>
      </c>
      <c r="F1012" s="1" t="s">
        <v>917</v>
      </c>
      <c r="G1012" s="1">
        <v>530016</v>
      </c>
      <c r="H1012" s="1">
        <v>0.75</v>
      </c>
    </row>
    <row r="1013" spans="1:8" ht="21.75" customHeight="1">
      <c r="A1013" s="1" t="str">
        <f>"1204720010503101"</f>
        <v>1204720010503101</v>
      </c>
      <c r="B1013" s="1" t="s">
        <v>3823</v>
      </c>
      <c r="C1013" s="1" t="s">
        <v>3824</v>
      </c>
      <c r="D1013" s="1" t="s">
        <v>3825</v>
      </c>
      <c r="E1013" s="1" t="s">
        <v>410</v>
      </c>
      <c r="F1013" s="1" t="s">
        <v>917</v>
      </c>
      <c r="G1013" s="1">
        <v>530017</v>
      </c>
      <c r="H1013" s="1">
        <v>150</v>
      </c>
    </row>
    <row r="1014" spans="1:8" ht="21.75" customHeight="1">
      <c r="A1014" s="1" t="str">
        <f>"IN30015910962849"</f>
        <v>IN30015910962849</v>
      </c>
      <c r="B1014" s="1" t="s">
        <v>3826</v>
      </c>
      <c r="C1014" s="1" t="s">
        <v>3827</v>
      </c>
      <c r="D1014" s="1" t="s">
        <v>3828</v>
      </c>
      <c r="E1014" s="1" t="s">
        <v>3829</v>
      </c>
      <c r="F1014" s="1"/>
      <c r="G1014" s="1">
        <v>530022</v>
      </c>
      <c r="H1014" s="1">
        <v>3.75</v>
      </c>
    </row>
    <row r="1015" spans="1:8" ht="21.75" customHeight="1">
      <c r="A1015" s="1" t="str">
        <f>"IN30429529966219"</f>
        <v>IN30429529966219</v>
      </c>
      <c r="B1015" s="1" t="s">
        <v>3830</v>
      </c>
      <c r="C1015" s="1" t="s">
        <v>3831</v>
      </c>
      <c r="D1015" s="1" t="s">
        <v>3832</v>
      </c>
      <c r="E1015" s="1" t="s">
        <v>3833</v>
      </c>
      <c r="F1015" s="1"/>
      <c r="G1015" s="1">
        <v>530027</v>
      </c>
      <c r="H1015" s="1">
        <v>0.75</v>
      </c>
    </row>
    <row r="1016" spans="1:8" ht="21.75" customHeight="1">
      <c r="A1016" s="1" t="str">
        <f>"IN30169611919863"</f>
        <v>IN30169611919863</v>
      </c>
      <c r="B1016" s="1" t="s">
        <v>3834</v>
      </c>
      <c r="C1016" s="1" t="s">
        <v>3835</v>
      </c>
      <c r="D1016" s="1" t="s">
        <v>3836</v>
      </c>
      <c r="E1016" s="1" t="s">
        <v>3837</v>
      </c>
      <c r="F1016" s="1"/>
      <c r="G1016" s="1">
        <v>530043</v>
      </c>
      <c r="H1016" s="1">
        <v>375</v>
      </c>
    </row>
    <row r="1017" spans="1:8" ht="21.75" customHeight="1">
      <c r="A1017" s="1" t="str">
        <f>"1601480000636056"</f>
        <v>1601480000636056</v>
      </c>
      <c r="B1017" s="1" t="s">
        <v>3838</v>
      </c>
      <c r="C1017" s="1" t="s">
        <v>3839</v>
      </c>
      <c r="D1017" s="1" t="s">
        <v>3840</v>
      </c>
      <c r="E1017" s="1" t="s">
        <v>917</v>
      </c>
      <c r="F1017" s="1" t="s">
        <v>917</v>
      </c>
      <c r="G1017" s="1">
        <v>530044</v>
      </c>
      <c r="H1017" s="1">
        <v>6</v>
      </c>
    </row>
    <row r="1018" spans="1:8" ht="21.75" customHeight="1">
      <c r="A1018" s="1" t="str">
        <f>"IN30163741362292"</f>
        <v>IN30163741362292</v>
      </c>
      <c r="B1018" s="1" t="s">
        <v>3841</v>
      </c>
      <c r="C1018" s="1" t="s">
        <v>3842</v>
      </c>
      <c r="D1018" s="1" t="s">
        <v>3843</v>
      </c>
      <c r="E1018" s="1" t="s">
        <v>3844</v>
      </c>
      <c r="F1018" s="1"/>
      <c r="G1018" s="1">
        <v>530046</v>
      </c>
      <c r="H1018" s="1">
        <v>8.25</v>
      </c>
    </row>
    <row r="1019" spans="1:8" ht="21.75" customHeight="1">
      <c r="A1019" s="1" t="str">
        <f>"1203320024767845"</f>
        <v>1203320024767845</v>
      </c>
      <c r="B1019" s="1" t="s">
        <v>3846</v>
      </c>
      <c r="C1019" s="1" t="s">
        <v>3847</v>
      </c>
      <c r="D1019" s="1" t="s">
        <v>3848</v>
      </c>
      <c r="E1019" s="1"/>
      <c r="F1019" s="1" t="s">
        <v>917</v>
      </c>
      <c r="G1019" s="1">
        <v>531001</v>
      </c>
      <c r="H1019" s="1">
        <v>9.75</v>
      </c>
    </row>
    <row r="1020" spans="1:8" ht="21.75" customHeight="1">
      <c r="A1020" s="1" t="str">
        <f>"IN30429570573400"</f>
        <v>IN30429570573400</v>
      </c>
      <c r="B1020" s="1" t="s">
        <v>3849</v>
      </c>
      <c r="C1020" s="1" t="s">
        <v>3850</v>
      </c>
      <c r="D1020" s="1" t="s">
        <v>3851</v>
      </c>
      <c r="E1020" s="1" t="s">
        <v>3852</v>
      </c>
      <c r="F1020" s="1"/>
      <c r="G1020" s="1">
        <v>531025</v>
      </c>
      <c r="H1020" s="1">
        <v>3</v>
      </c>
    </row>
    <row r="1021" spans="1:8" ht="21.75" customHeight="1">
      <c r="A1021" s="1" t="str">
        <f>"1208160024820792"</f>
        <v>1208160024820792</v>
      </c>
      <c r="B1021" s="1" t="s">
        <v>3853</v>
      </c>
      <c r="C1021" s="1" t="s">
        <v>3854</v>
      </c>
      <c r="D1021" s="1" t="s">
        <v>3855</v>
      </c>
      <c r="E1021" s="1"/>
      <c r="F1021" s="1" t="s">
        <v>917</v>
      </c>
      <c r="G1021" s="1">
        <v>531173</v>
      </c>
      <c r="H1021" s="1">
        <v>112.5</v>
      </c>
    </row>
    <row r="1022" spans="1:8" ht="21.75" customHeight="1">
      <c r="A1022" s="1" t="str">
        <f>"1203320084681690"</f>
        <v>1203320084681690</v>
      </c>
      <c r="B1022" s="1" t="s">
        <v>3857</v>
      </c>
      <c r="C1022" s="1" t="s">
        <v>3858</v>
      </c>
      <c r="D1022" s="1" t="s">
        <v>3859</v>
      </c>
      <c r="E1022" s="1"/>
      <c r="F1022" s="1" t="s">
        <v>3856</v>
      </c>
      <c r="G1022" s="1">
        <v>532402</v>
      </c>
      <c r="H1022" s="1">
        <v>0.75</v>
      </c>
    </row>
    <row r="1023" spans="1:8" ht="21.75" customHeight="1">
      <c r="A1023" s="1" t="str">
        <f>"1203230003010341"</f>
        <v>1203230003010341</v>
      </c>
      <c r="B1023" s="1" t="s">
        <v>3861</v>
      </c>
      <c r="C1023" s="1" t="s">
        <v>3862</v>
      </c>
      <c r="D1023" s="1" t="s">
        <v>3863</v>
      </c>
      <c r="E1023" s="1" t="s">
        <v>3864</v>
      </c>
      <c r="F1023" s="1" t="s">
        <v>3860</v>
      </c>
      <c r="G1023" s="1">
        <v>533101</v>
      </c>
      <c r="H1023" s="1">
        <v>375</v>
      </c>
    </row>
    <row r="1024" spans="1:8" ht="21.75" customHeight="1">
      <c r="A1024" s="1" t="str">
        <f>"1204920002338001"</f>
        <v>1204920002338001</v>
      </c>
      <c r="B1024" s="1" t="s">
        <v>3866</v>
      </c>
      <c r="C1024" s="1" t="s">
        <v>3867</v>
      </c>
      <c r="D1024" s="1" t="s">
        <v>3868</v>
      </c>
      <c r="E1024" s="1" t="s">
        <v>3869</v>
      </c>
      <c r="F1024" s="1" t="s">
        <v>3860</v>
      </c>
      <c r="G1024" s="1">
        <v>533126</v>
      </c>
      <c r="H1024" s="1">
        <v>0.75</v>
      </c>
    </row>
    <row r="1025" spans="1:8" ht="21.75" customHeight="1">
      <c r="A1025" s="1" t="str">
        <f>"1208180002691064"</f>
        <v>1208180002691064</v>
      </c>
      <c r="B1025" s="1" t="s">
        <v>3870</v>
      </c>
      <c r="C1025" s="1" t="s">
        <v>3871</v>
      </c>
      <c r="D1025" s="1" t="s">
        <v>3872</v>
      </c>
      <c r="E1025" s="1" t="s">
        <v>3873</v>
      </c>
      <c r="F1025" s="1" t="s">
        <v>3860</v>
      </c>
      <c r="G1025" s="1">
        <v>533223</v>
      </c>
      <c r="H1025" s="1">
        <v>11.25</v>
      </c>
    </row>
    <row r="1026" spans="1:8" ht="21.75" customHeight="1">
      <c r="A1026" s="1" t="str">
        <f>"IN30302855104768"</f>
        <v>IN30302855104768</v>
      </c>
      <c r="B1026" s="1" t="s">
        <v>3874</v>
      </c>
      <c r="C1026" s="1" t="s">
        <v>3875</v>
      </c>
      <c r="D1026" s="1" t="s">
        <v>3876</v>
      </c>
      <c r="E1026" s="1" t="s">
        <v>3877</v>
      </c>
      <c r="F1026" s="1"/>
      <c r="G1026" s="1">
        <v>533224</v>
      </c>
      <c r="H1026" s="1">
        <v>6</v>
      </c>
    </row>
    <row r="1027" spans="1:8" ht="21.75" customHeight="1">
      <c r="A1027" s="1" t="str">
        <f>"1208180047207410"</f>
        <v>1208180047207410</v>
      </c>
      <c r="B1027" s="1" t="s">
        <v>3878</v>
      </c>
      <c r="C1027" s="1" t="s">
        <v>3879</v>
      </c>
      <c r="D1027" s="1" t="s">
        <v>3880</v>
      </c>
      <c r="E1027" s="1" t="s">
        <v>3881</v>
      </c>
      <c r="F1027" s="1" t="s">
        <v>3860</v>
      </c>
      <c r="G1027" s="1">
        <v>533254</v>
      </c>
      <c r="H1027" s="1">
        <v>0.75</v>
      </c>
    </row>
    <row r="1028" spans="1:8" ht="21.75" customHeight="1">
      <c r="A1028" s="1" t="str">
        <f>"1208160056789528"</f>
        <v>1208160056789528</v>
      </c>
      <c r="B1028" s="1" t="s">
        <v>3882</v>
      </c>
      <c r="C1028" s="1" t="s">
        <v>3883</v>
      </c>
      <c r="D1028" s="1"/>
      <c r="E1028" s="1"/>
      <c r="F1028" s="1" t="s">
        <v>3860</v>
      </c>
      <c r="G1028" s="1">
        <v>533429</v>
      </c>
      <c r="H1028" s="1">
        <v>58.5</v>
      </c>
    </row>
    <row r="1029" spans="1:8" ht="21.75" customHeight="1">
      <c r="A1029" s="1" t="str">
        <f>"IN30307710514755"</f>
        <v>IN30307710514755</v>
      </c>
      <c r="B1029" s="1" t="s">
        <v>3884</v>
      </c>
      <c r="C1029" s="1" t="s">
        <v>3885</v>
      </c>
      <c r="D1029" s="1" t="s">
        <v>3886</v>
      </c>
      <c r="E1029" s="1" t="s">
        <v>3887</v>
      </c>
      <c r="F1029" s="1"/>
      <c r="G1029" s="1">
        <v>533450</v>
      </c>
      <c r="H1029" s="1">
        <v>112.5</v>
      </c>
    </row>
    <row r="1030" spans="1:8" ht="21.75" customHeight="1">
      <c r="A1030" s="1" t="str">
        <f>"IN30302866060892"</f>
        <v>IN30302866060892</v>
      </c>
      <c r="B1030" s="1" t="s">
        <v>3888</v>
      </c>
      <c r="C1030" s="1" t="s">
        <v>3889</v>
      </c>
      <c r="D1030" s="1" t="s">
        <v>3890</v>
      </c>
      <c r="E1030" s="1" t="s">
        <v>3891</v>
      </c>
      <c r="F1030" s="1"/>
      <c r="G1030" s="1">
        <v>534003</v>
      </c>
      <c r="H1030" s="1">
        <v>112.5</v>
      </c>
    </row>
    <row r="1031" spans="1:8" ht="21.75" customHeight="1">
      <c r="A1031" s="1" t="str">
        <f>"1203320074531324"</f>
        <v>1203320074531324</v>
      </c>
      <c r="B1031" s="1" t="s">
        <v>3892</v>
      </c>
      <c r="C1031" s="1" t="s">
        <v>3893</v>
      </c>
      <c r="D1031" s="1" t="s">
        <v>3894</v>
      </c>
      <c r="E1031" s="1" t="s">
        <v>3895</v>
      </c>
      <c r="F1031" s="1" t="s">
        <v>3890</v>
      </c>
      <c r="G1031" s="1">
        <v>534003</v>
      </c>
      <c r="H1031" s="1">
        <v>67.5</v>
      </c>
    </row>
    <row r="1032" spans="1:8" ht="21.75" customHeight="1">
      <c r="A1032" s="1" t="str">
        <f>"1203320070725031"</f>
        <v>1203320070725031</v>
      </c>
      <c r="B1032" s="1" t="s">
        <v>3896</v>
      </c>
      <c r="C1032" s="1" t="s">
        <v>3897</v>
      </c>
      <c r="D1032" s="1" t="s">
        <v>3898</v>
      </c>
      <c r="E1032" s="1" t="s">
        <v>3899</v>
      </c>
      <c r="F1032" s="1" t="s">
        <v>3890</v>
      </c>
      <c r="G1032" s="1">
        <v>534006</v>
      </c>
      <c r="H1032" s="1">
        <v>7.5</v>
      </c>
    </row>
    <row r="1033" spans="1:8" ht="21.75" customHeight="1">
      <c r="A1033" s="1" t="str">
        <f>"IN30189510951499"</f>
        <v>IN30189510951499</v>
      </c>
      <c r="B1033" s="1" t="s">
        <v>3900</v>
      </c>
      <c r="C1033" s="1" t="s">
        <v>3901</v>
      </c>
      <c r="D1033" s="1" t="s">
        <v>3902</v>
      </c>
      <c r="E1033" s="1" t="s">
        <v>3903</v>
      </c>
      <c r="F1033" s="1"/>
      <c r="G1033" s="1">
        <v>534211</v>
      </c>
      <c r="H1033" s="1">
        <v>37.5</v>
      </c>
    </row>
    <row r="1034" spans="1:8" ht="21.75" customHeight="1">
      <c r="A1034" s="1" t="str">
        <f>"IN30021426704584"</f>
        <v>IN30021426704584</v>
      </c>
      <c r="B1034" s="1" t="s">
        <v>3904</v>
      </c>
      <c r="C1034" s="1" t="s">
        <v>3905</v>
      </c>
      <c r="D1034" s="1" t="s">
        <v>3906</v>
      </c>
      <c r="E1034" s="1" t="s">
        <v>3907</v>
      </c>
      <c r="F1034" s="1"/>
      <c r="G1034" s="1">
        <v>560002</v>
      </c>
      <c r="H1034" s="1">
        <v>150</v>
      </c>
    </row>
    <row r="1035" spans="1:8" ht="21.75" customHeight="1">
      <c r="A1035" s="1" t="str">
        <f>"1203320007234511"</f>
        <v>1203320007234511</v>
      </c>
      <c r="B1035" s="1" t="s">
        <v>3908</v>
      </c>
      <c r="C1035" s="1" t="s">
        <v>3909</v>
      </c>
      <c r="D1035" s="1" t="s">
        <v>3910</v>
      </c>
      <c r="E1035" s="1" t="s">
        <v>3911</v>
      </c>
      <c r="F1035" s="1" t="s">
        <v>28</v>
      </c>
      <c r="G1035" s="1">
        <v>560003</v>
      </c>
      <c r="H1035" s="1">
        <v>37.5</v>
      </c>
    </row>
    <row r="1036" spans="1:8" ht="21.75" customHeight="1">
      <c r="A1036" s="1" t="str">
        <f>"1204920002420016"</f>
        <v>1204920002420016</v>
      </c>
      <c r="B1036" s="1" t="s">
        <v>3912</v>
      </c>
      <c r="C1036" s="1" t="s">
        <v>3913</v>
      </c>
      <c r="D1036" s="1" t="s">
        <v>3914</v>
      </c>
      <c r="E1036" s="1" t="s">
        <v>3915</v>
      </c>
      <c r="F1036" s="1" t="s">
        <v>347</v>
      </c>
      <c r="G1036" s="1">
        <v>560010</v>
      </c>
      <c r="H1036" s="1">
        <v>0.75</v>
      </c>
    </row>
    <row r="1037" spans="1:8" ht="21.75" customHeight="1">
      <c r="A1037" s="1" t="str">
        <f>"1208160018841989"</f>
        <v>1208160018841989</v>
      </c>
      <c r="B1037" s="1" t="s">
        <v>3916</v>
      </c>
      <c r="C1037" s="1" t="s">
        <v>3917</v>
      </c>
      <c r="D1037" s="1" t="s">
        <v>3918</v>
      </c>
      <c r="E1037" s="1"/>
      <c r="F1037" s="1" t="s">
        <v>347</v>
      </c>
      <c r="G1037" s="1">
        <v>560010</v>
      </c>
      <c r="H1037" s="1">
        <v>22.5</v>
      </c>
    </row>
    <row r="1038" spans="1:8" ht="21.75" customHeight="1">
      <c r="A1038" s="1" t="str">
        <f>"IN30429572862069"</f>
        <v>IN30429572862069</v>
      </c>
      <c r="B1038" s="1" t="s">
        <v>3919</v>
      </c>
      <c r="C1038" s="1" t="s">
        <v>3920</v>
      </c>
      <c r="D1038" s="1" t="s">
        <v>3921</v>
      </c>
      <c r="E1038" s="1" t="s">
        <v>3922</v>
      </c>
      <c r="F1038" s="1"/>
      <c r="G1038" s="1">
        <v>560010</v>
      </c>
      <c r="H1038" s="1">
        <v>67.5</v>
      </c>
    </row>
    <row r="1039" spans="1:8" ht="21.75" customHeight="1">
      <c r="A1039" s="1" t="str">
        <f>"1208160032401465"</f>
        <v>1208160032401465</v>
      </c>
      <c r="B1039" s="1" t="s">
        <v>3923</v>
      </c>
      <c r="C1039" s="1" t="s">
        <v>3924</v>
      </c>
      <c r="D1039" s="1" t="s">
        <v>3925</v>
      </c>
      <c r="E1039" s="1"/>
      <c r="F1039" s="1" t="s">
        <v>347</v>
      </c>
      <c r="G1039" s="1">
        <v>560017</v>
      </c>
      <c r="H1039" s="1">
        <v>75</v>
      </c>
    </row>
    <row r="1040" spans="1:8" ht="21.75" customHeight="1">
      <c r="A1040" s="1" t="str">
        <f>"1208870063844860"</f>
        <v>1208870063844860</v>
      </c>
      <c r="B1040" s="1" t="s">
        <v>3926</v>
      </c>
      <c r="C1040" s="1" t="s">
        <v>3927</v>
      </c>
      <c r="D1040" s="1" t="s">
        <v>3928</v>
      </c>
      <c r="E1040" s="1" t="s">
        <v>3929</v>
      </c>
      <c r="F1040" s="1" t="s">
        <v>347</v>
      </c>
      <c r="G1040" s="1">
        <v>560023</v>
      </c>
      <c r="H1040" s="1">
        <v>7.5</v>
      </c>
    </row>
    <row r="1041" spans="1:8" ht="21.75" customHeight="1">
      <c r="A1041" s="1" t="str">
        <f>"1204470004998848"</f>
        <v>1204470004998848</v>
      </c>
      <c r="B1041" s="1" t="s">
        <v>3931</v>
      </c>
      <c r="C1041" s="1" t="s">
        <v>3932</v>
      </c>
      <c r="D1041" s="1" t="s">
        <v>3933</v>
      </c>
      <c r="E1041" s="1" t="s">
        <v>3934</v>
      </c>
      <c r="F1041" s="1" t="s">
        <v>28</v>
      </c>
      <c r="G1041" s="1">
        <v>560029</v>
      </c>
      <c r="H1041" s="1">
        <v>30.75</v>
      </c>
    </row>
    <row r="1042" spans="1:8" ht="21.75" customHeight="1">
      <c r="A1042" s="1" t="str">
        <f>"IN30429514813035"</f>
        <v>IN30429514813035</v>
      </c>
      <c r="B1042" s="1" t="s">
        <v>3935</v>
      </c>
      <c r="C1042" s="1" t="s">
        <v>3936</v>
      </c>
      <c r="D1042" s="1" t="s">
        <v>3937</v>
      </c>
      <c r="E1042" s="1" t="s">
        <v>28</v>
      </c>
      <c r="F1042" s="1"/>
      <c r="G1042" s="1">
        <v>560030</v>
      </c>
      <c r="H1042" s="1">
        <v>0.75</v>
      </c>
    </row>
    <row r="1043" spans="1:8" ht="21.75" customHeight="1">
      <c r="A1043" s="1" t="str">
        <f>"1208160003187130"</f>
        <v>1208160003187130</v>
      </c>
      <c r="B1043" s="1" t="s">
        <v>3938</v>
      </c>
      <c r="C1043" s="1" t="s">
        <v>3939</v>
      </c>
      <c r="D1043" s="1" t="s">
        <v>3940</v>
      </c>
      <c r="E1043" s="1"/>
      <c r="F1043" s="1" t="s">
        <v>28</v>
      </c>
      <c r="G1043" s="1">
        <v>560032</v>
      </c>
      <c r="H1043" s="1">
        <v>15</v>
      </c>
    </row>
    <row r="1044" spans="1:8" ht="21.75" customHeight="1">
      <c r="A1044" s="1" t="str">
        <f>"1208870001584551"</f>
        <v>1208870001584551</v>
      </c>
      <c r="B1044" s="1" t="s">
        <v>3941</v>
      </c>
      <c r="C1044" s="1" t="s">
        <v>3942</v>
      </c>
      <c r="D1044" s="1" t="s">
        <v>3943</v>
      </c>
      <c r="E1044" s="1" t="s">
        <v>3944</v>
      </c>
      <c r="F1044" s="1" t="s">
        <v>347</v>
      </c>
      <c r="G1044" s="1">
        <v>560032</v>
      </c>
      <c r="H1044" s="1">
        <v>118.5</v>
      </c>
    </row>
    <row r="1045" spans="1:8" ht="21.75" customHeight="1">
      <c r="A1045" s="1" t="str">
        <f>"1208180009435687"</f>
        <v>1208180009435687</v>
      </c>
      <c r="B1045" s="1" t="s">
        <v>3945</v>
      </c>
      <c r="C1045" s="1" t="s">
        <v>3946</v>
      </c>
      <c r="D1045" s="1" t="s">
        <v>3947</v>
      </c>
      <c r="E1045" s="1" t="s">
        <v>3655</v>
      </c>
      <c r="F1045" s="1" t="s">
        <v>347</v>
      </c>
      <c r="G1045" s="1">
        <v>560032</v>
      </c>
      <c r="H1045" s="1">
        <v>19.5</v>
      </c>
    </row>
    <row r="1046" spans="1:8" ht="21.75" customHeight="1">
      <c r="A1046" s="1" t="str">
        <f>"1208160073831310"</f>
        <v>1208160073831310</v>
      </c>
      <c r="B1046" s="1" t="s">
        <v>3948</v>
      </c>
      <c r="C1046" s="1" t="s">
        <v>3949</v>
      </c>
      <c r="D1046" s="1" t="s">
        <v>3950</v>
      </c>
      <c r="E1046" s="1"/>
      <c r="F1046" s="1" t="s">
        <v>347</v>
      </c>
      <c r="G1046" s="1">
        <v>560032</v>
      </c>
      <c r="H1046" s="1">
        <v>13.5</v>
      </c>
    </row>
    <row r="1047" spans="1:8" ht="21.75" customHeight="1">
      <c r="A1047" s="1" t="str">
        <f>"IN30327010495523"</f>
        <v>IN30327010495523</v>
      </c>
      <c r="B1047" s="1" t="s">
        <v>3951</v>
      </c>
      <c r="C1047" s="1" t="s">
        <v>3952</v>
      </c>
      <c r="D1047" s="1" t="s">
        <v>3953</v>
      </c>
      <c r="E1047" s="1" t="s">
        <v>3954</v>
      </c>
      <c r="F1047" s="1"/>
      <c r="G1047" s="1">
        <v>560034</v>
      </c>
      <c r="H1047" s="1">
        <v>90</v>
      </c>
    </row>
    <row r="1048" spans="1:8" ht="21.75" customHeight="1">
      <c r="A1048" s="1" t="str">
        <f>"1208160074484181"</f>
        <v>1208160074484181</v>
      </c>
      <c r="B1048" s="1" t="s">
        <v>3955</v>
      </c>
      <c r="C1048" s="1" t="s">
        <v>3956</v>
      </c>
      <c r="D1048" s="1" t="s">
        <v>3957</v>
      </c>
      <c r="E1048" s="1" t="s">
        <v>3958</v>
      </c>
      <c r="F1048" s="1" t="s">
        <v>347</v>
      </c>
      <c r="G1048" s="1">
        <v>560035</v>
      </c>
      <c r="H1048" s="1">
        <v>412.5</v>
      </c>
    </row>
    <row r="1049" spans="1:8" ht="21.75" customHeight="1">
      <c r="A1049" s="1" t="str">
        <f>"1203600000259143"</f>
        <v>1203600000259143</v>
      </c>
      <c r="B1049" s="1" t="s">
        <v>3959</v>
      </c>
      <c r="C1049" s="1" t="s">
        <v>3960</v>
      </c>
      <c r="D1049" s="1" t="s">
        <v>3961</v>
      </c>
      <c r="E1049" s="1" t="s">
        <v>3962</v>
      </c>
      <c r="F1049" s="1" t="s">
        <v>28</v>
      </c>
      <c r="G1049" s="1">
        <v>560037</v>
      </c>
      <c r="H1049" s="1">
        <v>22.5</v>
      </c>
    </row>
    <row r="1050" spans="1:8" ht="21.75" customHeight="1">
      <c r="A1050" s="1" t="str">
        <f>"1208870008882920"</f>
        <v>1208870008882920</v>
      </c>
      <c r="B1050" s="1" t="s">
        <v>3963</v>
      </c>
      <c r="C1050" s="1" t="s">
        <v>3964</v>
      </c>
      <c r="D1050" s="1" t="s">
        <v>3965</v>
      </c>
      <c r="E1050" s="1" t="s">
        <v>3966</v>
      </c>
      <c r="F1050" s="1" t="s">
        <v>347</v>
      </c>
      <c r="G1050" s="1">
        <v>560037</v>
      </c>
      <c r="H1050" s="1">
        <v>15</v>
      </c>
    </row>
    <row r="1051" spans="1:8" ht="21.75" customHeight="1">
      <c r="A1051" s="1" t="str">
        <f>"IN30051319541886"</f>
        <v>IN30051319541886</v>
      </c>
      <c r="B1051" s="1" t="s">
        <v>3967</v>
      </c>
      <c r="C1051" s="1" t="s">
        <v>3968</v>
      </c>
      <c r="D1051" s="1" t="s">
        <v>3969</v>
      </c>
      <c r="E1051" s="1" t="s">
        <v>3970</v>
      </c>
      <c r="F1051" s="1"/>
      <c r="G1051" s="1">
        <v>560037</v>
      </c>
      <c r="H1051" s="1">
        <v>22.5</v>
      </c>
    </row>
    <row r="1052" spans="1:8" ht="21.75" customHeight="1">
      <c r="A1052" s="1" t="str">
        <f>"IN30051312356669"</f>
        <v>IN30051312356669</v>
      </c>
      <c r="B1052" s="1" t="s">
        <v>3971</v>
      </c>
      <c r="C1052" s="1" t="s">
        <v>3972</v>
      </c>
      <c r="D1052" s="1" t="s">
        <v>3973</v>
      </c>
      <c r="E1052" s="1" t="s">
        <v>3974</v>
      </c>
      <c r="F1052" s="1"/>
      <c r="G1052" s="1">
        <v>560037</v>
      </c>
      <c r="H1052" s="1">
        <v>270</v>
      </c>
    </row>
    <row r="1053" spans="1:8" ht="21.75" customHeight="1">
      <c r="A1053" s="1" t="str">
        <f>"IN30051318524326"</f>
        <v>IN30051318524326</v>
      </c>
      <c r="B1053" s="1" t="s">
        <v>3975</v>
      </c>
      <c r="C1053" s="1" t="s">
        <v>3976</v>
      </c>
      <c r="D1053" s="1" t="s">
        <v>3977</v>
      </c>
      <c r="E1053" s="1" t="s">
        <v>3978</v>
      </c>
      <c r="F1053" s="1"/>
      <c r="G1053" s="1">
        <v>560037</v>
      </c>
      <c r="H1053" s="1">
        <v>1.5</v>
      </c>
    </row>
    <row r="1054" spans="1:8" ht="21.75" customHeight="1">
      <c r="A1054" s="1" t="str">
        <f>"IN30290248914426"</f>
        <v>IN30290248914426</v>
      </c>
      <c r="B1054" s="1" t="s">
        <v>3979</v>
      </c>
      <c r="C1054" s="1" t="s">
        <v>3980</v>
      </c>
      <c r="D1054" s="1" t="s">
        <v>3981</v>
      </c>
      <c r="E1054" s="1" t="s">
        <v>3982</v>
      </c>
      <c r="F1054" s="1"/>
      <c r="G1054" s="1">
        <v>560041</v>
      </c>
      <c r="H1054" s="1">
        <v>1.25</v>
      </c>
    </row>
    <row r="1055" spans="1:8" ht="21.75" customHeight="1">
      <c r="A1055" s="1" t="str">
        <f>"IN30267934500644"</f>
        <v>IN30267934500644</v>
      </c>
      <c r="B1055" s="1" t="s">
        <v>3983</v>
      </c>
      <c r="C1055" s="1" t="s">
        <v>3984</v>
      </c>
      <c r="D1055" s="1" t="s">
        <v>3985</v>
      </c>
      <c r="E1055" s="1" t="s">
        <v>3986</v>
      </c>
      <c r="F1055" s="1"/>
      <c r="G1055" s="1">
        <v>560042</v>
      </c>
      <c r="H1055" s="1">
        <v>75</v>
      </c>
    </row>
    <row r="1056" spans="1:8" ht="21.75" customHeight="1">
      <c r="A1056" s="1" t="str">
        <f>"IN30362210027541"</f>
        <v>IN30362210027541</v>
      </c>
      <c r="B1056" s="1" t="s">
        <v>3987</v>
      </c>
      <c r="C1056" s="1" t="s">
        <v>3988</v>
      </c>
      <c r="D1056" s="1" t="s">
        <v>3989</v>
      </c>
      <c r="E1056" s="1" t="s">
        <v>3990</v>
      </c>
      <c r="F1056" s="1"/>
      <c r="G1056" s="1">
        <v>560045</v>
      </c>
      <c r="H1056" s="1">
        <v>3010.25</v>
      </c>
    </row>
    <row r="1057" spans="1:8" ht="21.75" customHeight="1">
      <c r="A1057" s="1" t="str">
        <f>"1208160021213897"</f>
        <v>1208160021213897</v>
      </c>
      <c r="B1057" s="1" t="s">
        <v>3991</v>
      </c>
      <c r="C1057" s="1" t="s">
        <v>3992</v>
      </c>
      <c r="D1057" s="1" t="s">
        <v>3993</v>
      </c>
      <c r="E1057" s="1"/>
      <c r="F1057" s="1" t="s">
        <v>347</v>
      </c>
      <c r="G1057" s="1">
        <v>560045</v>
      </c>
      <c r="H1057" s="1">
        <v>133.5</v>
      </c>
    </row>
    <row r="1058" spans="1:8" ht="21.75" customHeight="1">
      <c r="A1058" s="1" t="str">
        <f>"1208160000517971"</f>
        <v>1208160000517971</v>
      </c>
      <c r="B1058" s="1" t="s">
        <v>3994</v>
      </c>
      <c r="C1058" s="1" t="s">
        <v>3995</v>
      </c>
      <c r="D1058" s="1" t="s">
        <v>3422</v>
      </c>
      <c r="E1058" s="1" t="s">
        <v>3423</v>
      </c>
      <c r="F1058" s="1" t="s">
        <v>28</v>
      </c>
      <c r="G1058" s="1">
        <v>560048</v>
      </c>
      <c r="H1058" s="1">
        <v>135</v>
      </c>
    </row>
    <row r="1059" spans="1:8" ht="21.75" customHeight="1">
      <c r="A1059" s="1" t="str">
        <f>"IN30051315136580"</f>
        <v>IN30051315136580</v>
      </c>
      <c r="B1059" s="1" t="s">
        <v>3996</v>
      </c>
      <c r="C1059" s="1" t="s">
        <v>3997</v>
      </c>
      <c r="D1059" s="1" t="s">
        <v>3998</v>
      </c>
      <c r="E1059" s="1" t="s">
        <v>3999</v>
      </c>
      <c r="F1059" s="1"/>
      <c r="G1059" s="1">
        <v>560050</v>
      </c>
      <c r="H1059" s="1">
        <v>22.5</v>
      </c>
    </row>
    <row r="1060" spans="1:8" ht="21.75" customHeight="1">
      <c r="A1060" s="1" t="str">
        <f>"IN30051321206727"</f>
        <v>IN30051321206727</v>
      </c>
      <c r="B1060" s="1" t="s">
        <v>4000</v>
      </c>
      <c r="C1060" s="1" t="s">
        <v>4001</v>
      </c>
      <c r="D1060" s="1" t="s">
        <v>4002</v>
      </c>
      <c r="E1060" s="1" t="s">
        <v>4003</v>
      </c>
      <c r="F1060" s="1"/>
      <c r="G1060" s="1">
        <v>560055</v>
      </c>
      <c r="H1060" s="1">
        <v>75</v>
      </c>
    </row>
    <row r="1061" spans="1:8" ht="21.75" customHeight="1">
      <c r="A1061" s="1" t="str">
        <f>"1208180006016750"</f>
        <v>1208180006016750</v>
      </c>
      <c r="B1061" s="1" t="s">
        <v>4004</v>
      </c>
      <c r="C1061" s="1" t="s">
        <v>4005</v>
      </c>
      <c r="D1061" s="1" t="s">
        <v>4006</v>
      </c>
      <c r="E1061" s="1" t="s">
        <v>4007</v>
      </c>
      <c r="F1061" s="1" t="s">
        <v>347</v>
      </c>
      <c r="G1061" s="1">
        <v>560058</v>
      </c>
      <c r="H1061" s="1">
        <v>60</v>
      </c>
    </row>
    <row r="1062" spans="1:8" ht="21.75" customHeight="1">
      <c r="A1062" s="1" t="str">
        <f>"IN30226913463765"</f>
        <v>IN30226913463765</v>
      </c>
      <c r="B1062" s="1" t="s">
        <v>4008</v>
      </c>
      <c r="C1062" s="1" t="s">
        <v>4009</v>
      </c>
      <c r="D1062" s="1" t="s">
        <v>4010</v>
      </c>
      <c r="E1062" s="1" t="s">
        <v>4011</v>
      </c>
      <c r="F1062" s="1"/>
      <c r="G1062" s="1">
        <v>560062</v>
      </c>
      <c r="H1062" s="1">
        <v>12.75</v>
      </c>
    </row>
    <row r="1063" spans="1:8" ht="21.75" customHeight="1">
      <c r="A1063" s="1" t="str">
        <f>"1208160031157801"</f>
        <v>1208160031157801</v>
      </c>
      <c r="B1063" s="1" t="s">
        <v>4012</v>
      </c>
      <c r="C1063" s="1" t="s">
        <v>4013</v>
      </c>
      <c r="D1063" s="1" t="s">
        <v>4014</v>
      </c>
      <c r="E1063" s="1"/>
      <c r="F1063" s="1" t="s">
        <v>347</v>
      </c>
      <c r="G1063" s="1">
        <v>560064</v>
      </c>
      <c r="H1063" s="1">
        <v>489</v>
      </c>
    </row>
    <row r="1064" spans="1:8" ht="21.75" customHeight="1">
      <c r="A1064" s="1" t="str">
        <f>"1204920001991051"</f>
        <v>1204920001991051</v>
      </c>
      <c r="B1064" s="1" t="s">
        <v>4015</v>
      </c>
      <c r="C1064" s="1" t="s">
        <v>4016</v>
      </c>
      <c r="D1064" s="1" t="s">
        <v>4017</v>
      </c>
      <c r="E1064" s="1" t="s">
        <v>4018</v>
      </c>
      <c r="F1064" s="1" t="s">
        <v>347</v>
      </c>
      <c r="G1064" s="1">
        <v>560066</v>
      </c>
      <c r="H1064" s="1">
        <v>1.5</v>
      </c>
    </row>
    <row r="1065" spans="1:8" ht="21.75" customHeight="1">
      <c r="A1065" s="1" t="str">
        <f>"IN30429513796848"</f>
        <v>IN30429513796848</v>
      </c>
      <c r="B1065" s="1" t="s">
        <v>4019</v>
      </c>
      <c r="C1065" s="1">
        <v>61</v>
      </c>
      <c r="D1065" s="1" t="s">
        <v>4020</v>
      </c>
      <c r="E1065" s="1" t="s">
        <v>4021</v>
      </c>
      <c r="F1065" s="1"/>
      <c r="G1065" s="1">
        <v>560066</v>
      </c>
      <c r="H1065" s="1">
        <v>150</v>
      </c>
    </row>
    <row r="1066" spans="1:8" ht="21.75" customHeight="1">
      <c r="A1066" s="1" t="str">
        <f>"1207020001861088"</f>
        <v>1207020001861088</v>
      </c>
      <c r="B1066" s="1" t="s">
        <v>4023</v>
      </c>
      <c r="C1066" s="1" t="s">
        <v>4024</v>
      </c>
      <c r="D1066" s="1" t="s">
        <v>4025</v>
      </c>
      <c r="E1066" s="1" t="s">
        <v>4026</v>
      </c>
      <c r="F1066" s="1" t="s">
        <v>4022</v>
      </c>
      <c r="G1066" s="1">
        <v>560068</v>
      </c>
      <c r="H1066" s="1">
        <v>22.5</v>
      </c>
    </row>
    <row r="1067" spans="1:8" ht="21.75" customHeight="1">
      <c r="A1067" s="1" t="str">
        <f>"1208360000595049"</f>
        <v>1208360000595049</v>
      </c>
      <c r="B1067" s="1" t="s">
        <v>4027</v>
      </c>
      <c r="C1067" s="1" t="s">
        <v>4028</v>
      </c>
      <c r="D1067" s="1" t="s">
        <v>4029</v>
      </c>
      <c r="E1067" s="1" t="s">
        <v>28</v>
      </c>
      <c r="F1067" s="1" t="s">
        <v>347</v>
      </c>
      <c r="G1067" s="1">
        <v>560068</v>
      </c>
      <c r="H1067" s="1">
        <v>33.75</v>
      </c>
    </row>
    <row r="1068" spans="1:8" ht="21.75" customHeight="1">
      <c r="A1068" s="1" t="str">
        <f>"IN30169612147306"</f>
        <v>IN30169612147306</v>
      </c>
      <c r="B1068" s="1" t="s">
        <v>4030</v>
      </c>
      <c r="C1068" s="1" t="s">
        <v>4031</v>
      </c>
      <c r="D1068" s="1" t="s">
        <v>4032</v>
      </c>
      <c r="E1068" s="1" t="s">
        <v>4033</v>
      </c>
      <c r="F1068" s="1"/>
      <c r="G1068" s="1">
        <v>560071</v>
      </c>
      <c r="H1068" s="1">
        <v>25.5</v>
      </c>
    </row>
    <row r="1069" spans="1:8" ht="21.75" customHeight="1">
      <c r="A1069" s="1" t="str">
        <f>"IN30169612147790"</f>
        <v>IN30169612147790</v>
      </c>
      <c r="B1069" s="1" t="s">
        <v>4034</v>
      </c>
      <c r="C1069" s="1" t="s">
        <v>4035</v>
      </c>
      <c r="D1069" s="1" t="s">
        <v>4036</v>
      </c>
      <c r="E1069" s="1" t="s">
        <v>4037</v>
      </c>
      <c r="F1069" s="1"/>
      <c r="G1069" s="1">
        <v>560071</v>
      </c>
      <c r="H1069" s="1">
        <v>76.5</v>
      </c>
    </row>
    <row r="1070" spans="1:8" ht="21.75" customHeight="1">
      <c r="A1070" s="1" t="str">
        <f>"IN30245310170898"</f>
        <v>IN30245310170898</v>
      </c>
      <c r="B1070" s="1" t="s">
        <v>4038</v>
      </c>
      <c r="C1070" s="1" t="s">
        <v>4039</v>
      </c>
      <c r="D1070" s="1" t="s">
        <v>4040</v>
      </c>
      <c r="E1070" s="1" t="s">
        <v>4041</v>
      </c>
      <c r="F1070" s="1"/>
      <c r="G1070" s="1">
        <v>560072</v>
      </c>
      <c r="H1070" s="1">
        <v>375</v>
      </c>
    </row>
    <row r="1071" spans="1:8" ht="21.75" customHeight="1">
      <c r="A1071" s="1" t="str">
        <f>"1201090003508612"</f>
        <v>1201090003508612</v>
      </c>
      <c r="B1071" s="1" t="s">
        <v>4042</v>
      </c>
      <c r="C1071" s="1" t="s">
        <v>4043</v>
      </c>
      <c r="D1071" s="1" t="s">
        <v>4044</v>
      </c>
      <c r="E1071" s="1" t="s">
        <v>4045</v>
      </c>
      <c r="F1071" s="1" t="s">
        <v>28</v>
      </c>
      <c r="G1071" s="1">
        <v>560078</v>
      </c>
      <c r="H1071" s="1">
        <v>0.75</v>
      </c>
    </row>
    <row r="1072" spans="1:8" ht="21.75" customHeight="1">
      <c r="A1072" s="1" t="str">
        <f>"1208160018463291"</f>
        <v>1208160018463291</v>
      </c>
      <c r="B1072" s="1" t="s">
        <v>4046</v>
      </c>
      <c r="C1072" s="1" t="s">
        <v>4047</v>
      </c>
      <c r="D1072" s="1" t="s">
        <v>4048</v>
      </c>
      <c r="E1072" s="1" t="s">
        <v>4049</v>
      </c>
      <c r="F1072" s="1" t="s">
        <v>347</v>
      </c>
      <c r="G1072" s="1">
        <v>560079</v>
      </c>
      <c r="H1072" s="1">
        <v>2.25</v>
      </c>
    </row>
    <row r="1073" spans="1:8" ht="21.75" customHeight="1">
      <c r="A1073" s="1" t="str">
        <f>"1208160061171852"</f>
        <v>1208160061171852</v>
      </c>
      <c r="B1073" s="1" t="s">
        <v>4050</v>
      </c>
      <c r="C1073" s="1" t="s">
        <v>4051</v>
      </c>
      <c r="D1073" s="1" t="s">
        <v>4052</v>
      </c>
      <c r="E1073" s="1"/>
      <c r="F1073" s="1" t="s">
        <v>4022</v>
      </c>
      <c r="G1073" s="1">
        <v>560083</v>
      </c>
      <c r="H1073" s="1">
        <v>0.75</v>
      </c>
    </row>
    <row r="1074" spans="1:8" ht="21.75" customHeight="1">
      <c r="A1074" s="1" t="str">
        <f>"1204940000029031"</f>
        <v>1204940000029031</v>
      </c>
      <c r="B1074" s="1" t="s">
        <v>4053</v>
      </c>
      <c r="C1074" s="1" t="s">
        <v>4054</v>
      </c>
      <c r="D1074" s="1" t="s">
        <v>4055</v>
      </c>
      <c r="E1074" s="1" t="s">
        <v>4056</v>
      </c>
      <c r="F1074" s="1" t="s">
        <v>28</v>
      </c>
      <c r="G1074" s="1">
        <v>560085</v>
      </c>
      <c r="H1074" s="1">
        <v>112.5</v>
      </c>
    </row>
    <row r="1075" spans="1:8" ht="21.75" customHeight="1">
      <c r="A1075" s="1" t="str">
        <f>"IN30021419121689"</f>
        <v>IN30021419121689</v>
      </c>
      <c r="B1075" s="1" t="s">
        <v>4057</v>
      </c>
      <c r="C1075" s="1" t="s">
        <v>4058</v>
      </c>
      <c r="D1075" s="1"/>
      <c r="E1075" s="1" t="s">
        <v>330</v>
      </c>
      <c r="F1075" s="1"/>
      <c r="G1075" s="1">
        <v>560085</v>
      </c>
      <c r="H1075" s="1">
        <v>42.75</v>
      </c>
    </row>
    <row r="1076" spans="1:8" ht="21.75" customHeight="1">
      <c r="A1076" s="1" t="str">
        <f>"1208160020824134"</f>
        <v>1208160020824134</v>
      </c>
      <c r="B1076" s="1" t="s">
        <v>4059</v>
      </c>
      <c r="C1076" s="1" t="s">
        <v>4060</v>
      </c>
      <c r="D1076" s="1" t="s">
        <v>4061</v>
      </c>
      <c r="E1076" s="1" t="s">
        <v>4062</v>
      </c>
      <c r="F1076" s="1" t="s">
        <v>347</v>
      </c>
      <c r="G1076" s="1">
        <v>560092</v>
      </c>
      <c r="H1076" s="1">
        <v>0.75</v>
      </c>
    </row>
    <row r="1077" spans="1:8" ht="21.75" customHeight="1">
      <c r="A1077" s="1" t="str">
        <f>"1208160008033528"</f>
        <v>1208160008033528</v>
      </c>
      <c r="B1077" s="1" t="s">
        <v>4063</v>
      </c>
      <c r="C1077" s="1" t="s">
        <v>4064</v>
      </c>
      <c r="D1077" s="1" t="s">
        <v>4065</v>
      </c>
      <c r="E1077" s="1"/>
      <c r="F1077" s="1" t="s">
        <v>347</v>
      </c>
      <c r="G1077" s="1">
        <v>560093</v>
      </c>
      <c r="H1077" s="1">
        <v>157.5</v>
      </c>
    </row>
    <row r="1078" spans="1:8" ht="21.75" customHeight="1">
      <c r="A1078" s="1" t="str">
        <f>"IN30023913329903"</f>
        <v>IN30023913329903</v>
      </c>
      <c r="B1078" s="1" t="s">
        <v>4066</v>
      </c>
      <c r="C1078" s="1" t="s">
        <v>4067</v>
      </c>
      <c r="D1078" s="1" t="s">
        <v>4068</v>
      </c>
      <c r="E1078" s="1" t="s">
        <v>4069</v>
      </c>
      <c r="F1078" s="1"/>
      <c r="G1078" s="1">
        <v>560098</v>
      </c>
      <c r="H1078" s="1">
        <v>37.5</v>
      </c>
    </row>
    <row r="1079" spans="1:8" ht="21.75" customHeight="1">
      <c r="A1079" s="1" t="str">
        <f>"IN30323710142360"</f>
        <v>IN30323710142360</v>
      </c>
      <c r="B1079" s="1" t="s">
        <v>4070</v>
      </c>
      <c r="C1079" s="1" t="s">
        <v>4071</v>
      </c>
      <c r="D1079" s="1" t="s">
        <v>4072</v>
      </c>
      <c r="E1079" s="1" t="s">
        <v>4073</v>
      </c>
      <c r="F1079" s="1"/>
      <c r="G1079" s="1">
        <v>560098</v>
      </c>
      <c r="H1079" s="1">
        <v>92.25</v>
      </c>
    </row>
    <row r="1080" spans="1:8" ht="21.75" customHeight="1">
      <c r="A1080" s="1" t="str">
        <f>"1208160083136028"</f>
        <v>1208160083136028</v>
      </c>
      <c r="B1080" s="1" t="s">
        <v>4074</v>
      </c>
      <c r="C1080" s="1" t="s">
        <v>4075</v>
      </c>
      <c r="D1080" s="1" t="s">
        <v>4076</v>
      </c>
      <c r="E1080" s="1" t="s">
        <v>4077</v>
      </c>
      <c r="F1080" s="1" t="s">
        <v>347</v>
      </c>
      <c r="G1080" s="1">
        <v>560100</v>
      </c>
      <c r="H1080" s="1">
        <v>16.5</v>
      </c>
    </row>
    <row r="1081" spans="1:8" ht="21.75" customHeight="1">
      <c r="A1081" s="1" t="str">
        <f>"IN30051315206222"</f>
        <v>IN30051315206222</v>
      </c>
      <c r="B1081" s="1" t="s">
        <v>4078</v>
      </c>
      <c r="C1081" s="1" t="s">
        <v>4079</v>
      </c>
      <c r="D1081" s="1" t="s">
        <v>4080</v>
      </c>
      <c r="E1081" s="1" t="s">
        <v>3999</v>
      </c>
      <c r="F1081" s="1"/>
      <c r="G1081" s="1">
        <v>560100</v>
      </c>
      <c r="H1081" s="1">
        <v>99.75</v>
      </c>
    </row>
    <row r="1082" spans="1:8" ht="21.75" customHeight="1">
      <c r="A1082" s="1" t="str">
        <f>"1204920002213904"</f>
        <v>1204920002213904</v>
      </c>
      <c r="B1082" s="1" t="s">
        <v>4081</v>
      </c>
      <c r="C1082" s="1" t="s">
        <v>4082</v>
      </c>
      <c r="D1082" s="1" t="s">
        <v>4083</v>
      </c>
      <c r="E1082" s="1" t="s">
        <v>4084</v>
      </c>
      <c r="F1082" s="1" t="s">
        <v>347</v>
      </c>
      <c r="G1082" s="1">
        <v>560102</v>
      </c>
      <c r="H1082" s="1">
        <v>0.75</v>
      </c>
    </row>
    <row r="1083" spans="1:8" ht="21.75" customHeight="1">
      <c r="A1083" s="1" t="str">
        <f>"IN30177411100307"</f>
        <v>IN30177411100307</v>
      </c>
      <c r="B1083" s="1" t="s">
        <v>4085</v>
      </c>
      <c r="C1083" s="1" t="s">
        <v>4086</v>
      </c>
      <c r="D1083" s="1" t="s">
        <v>4087</v>
      </c>
      <c r="E1083" s="1" t="s">
        <v>28</v>
      </c>
      <c r="F1083" s="1"/>
      <c r="G1083" s="1">
        <v>560103</v>
      </c>
      <c r="H1083" s="1">
        <v>15</v>
      </c>
    </row>
    <row r="1084" spans="1:8" ht="21.75" customHeight="1">
      <c r="A1084" s="1" t="str">
        <f>"1208160031722932"</f>
        <v>1208160031722932</v>
      </c>
      <c r="B1084" s="1" t="s">
        <v>4088</v>
      </c>
      <c r="C1084" s="1" t="s">
        <v>4089</v>
      </c>
      <c r="D1084" s="1" t="s">
        <v>4090</v>
      </c>
      <c r="E1084" s="1"/>
      <c r="F1084" s="1" t="s">
        <v>4091</v>
      </c>
      <c r="G1084" s="1">
        <v>561207</v>
      </c>
      <c r="H1084" s="1">
        <v>0.75</v>
      </c>
    </row>
    <row r="1085" spans="1:8" ht="21.75" customHeight="1">
      <c r="A1085" s="1" t="str">
        <f>"1208250025948189"</f>
        <v>1208250025948189</v>
      </c>
      <c r="B1085" s="1" t="s">
        <v>4093</v>
      </c>
      <c r="C1085" s="1" t="s">
        <v>4094</v>
      </c>
      <c r="D1085" s="1" t="s">
        <v>4091</v>
      </c>
      <c r="E1085" s="1"/>
      <c r="F1085" s="1" t="s">
        <v>4092</v>
      </c>
      <c r="G1085" s="1">
        <v>561210</v>
      </c>
      <c r="H1085" s="1">
        <v>22.5</v>
      </c>
    </row>
    <row r="1086" spans="1:8" ht="21.75" customHeight="1">
      <c r="A1086" s="1" t="str">
        <f>"1208160003556549"</f>
        <v>1208160003556549</v>
      </c>
      <c r="B1086" s="1" t="s">
        <v>4095</v>
      </c>
      <c r="C1086" s="1" t="s">
        <v>4096</v>
      </c>
      <c r="D1086" s="1" t="s">
        <v>4097</v>
      </c>
      <c r="E1086" s="1"/>
      <c r="F1086" s="1" t="s">
        <v>4098</v>
      </c>
      <c r="G1086" s="1">
        <v>563123</v>
      </c>
      <c r="H1086" s="1">
        <v>7.5</v>
      </c>
    </row>
    <row r="1087" spans="1:8" ht="21.75" customHeight="1">
      <c r="A1087" s="1" t="str">
        <f>"1204470003111085"</f>
        <v>1204470003111085</v>
      </c>
      <c r="B1087" s="1" t="s">
        <v>4100</v>
      </c>
      <c r="C1087" s="1" t="s">
        <v>4101</v>
      </c>
      <c r="D1087" s="1" t="s">
        <v>4102</v>
      </c>
      <c r="E1087" s="1" t="s">
        <v>4103</v>
      </c>
      <c r="F1087" s="1" t="s">
        <v>4099</v>
      </c>
      <c r="G1087" s="1">
        <v>570001</v>
      </c>
      <c r="H1087" s="1">
        <v>32.25</v>
      </c>
    </row>
    <row r="1088" spans="1:8" ht="21.75" customHeight="1">
      <c r="A1088" s="1" t="str">
        <f>"1208160079123253"</f>
        <v>1208160079123253</v>
      </c>
      <c r="B1088" s="1" t="s">
        <v>4104</v>
      </c>
      <c r="C1088" s="1" t="s">
        <v>4105</v>
      </c>
      <c r="D1088" s="1" t="s">
        <v>4106</v>
      </c>
      <c r="E1088" s="1"/>
      <c r="F1088" s="1" t="s">
        <v>2258</v>
      </c>
      <c r="G1088" s="1">
        <v>570008</v>
      </c>
      <c r="H1088" s="1">
        <v>135</v>
      </c>
    </row>
    <row r="1089" spans="1:8" ht="21.75" customHeight="1">
      <c r="A1089" s="1" t="str">
        <f>"IN30214810775020"</f>
        <v>IN30214810775020</v>
      </c>
      <c r="B1089" s="1" t="s">
        <v>4107</v>
      </c>
      <c r="C1089" s="1" t="s">
        <v>4108</v>
      </c>
      <c r="D1089" s="1" t="s">
        <v>4109</v>
      </c>
      <c r="E1089" s="1" t="s">
        <v>4110</v>
      </c>
      <c r="F1089" s="1"/>
      <c r="G1089" s="1">
        <v>570008</v>
      </c>
      <c r="H1089" s="1">
        <v>37.5</v>
      </c>
    </row>
    <row r="1090" spans="1:8" ht="21.75" customHeight="1">
      <c r="A1090" s="1" t="str">
        <f>"1208160016677191"</f>
        <v>1208160016677191</v>
      </c>
      <c r="B1090" s="1" t="s">
        <v>4111</v>
      </c>
      <c r="C1090" s="1" t="s">
        <v>4112</v>
      </c>
      <c r="D1090" s="1" t="s">
        <v>4113</v>
      </c>
      <c r="E1090" s="1" t="s">
        <v>4114</v>
      </c>
      <c r="F1090" s="1" t="s">
        <v>4099</v>
      </c>
      <c r="G1090" s="1">
        <v>571312</v>
      </c>
      <c r="H1090" s="1">
        <v>1.5</v>
      </c>
    </row>
    <row r="1091" spans="1:8" ht="21.75" customHeight="1">
      <c r="A1091" s="1" t="str">
        <f>"1208160006680062"</f>
        <v>1208160006680062</v>
      </c>
      <c r="B1091" s="1" t="s">
        <v>4117</v>
      </c>
      <c r="C1091" s="1" t="s">
        <v>4118</v>
      </c>
      <c r="D1091" s="1" t="s">
        <v>4119</v>
      </c>
      <c r="E1091" s="1"/>
      <c r="F1091" s="1" t="s">
        <v>4116</v>
      </c>
      <c r="G1091" s="1">
        <v>571402</v>
      </c>
      <c r="H1091" s="1">
        <v>45</v>
      </c>
    </row>
    <row r="1092" spans="1:8" ht="21.75" customHeight="1">
      <c r="A1092" s="1" t="str">
        <f>"1204920002341390"</f>
        <v>1204920002341390</v>
      </c>
      <c r="B1092" s="1" t="s">
        <v>4120</v>
      </c>
      <c r="C1092" s="1" t="s">
        <v>4121</v>
      </c>
      <c r="D1092" s="1" t="s">
        <v>4116</v>
      </c>
      <c r="E1092" s="1" t="s">
        <v>410</v>
      </c>
      <c r="F1092" s="1" t="s">
        <v>4116</v>
      </c>
      <c r="G1092" s="1">
        <v>571430</v>
      </c>
      <c r="H1092" s="1">
        <v>0.75</v>
      </c>
    </row>
    <row r="1093" spans="1:8" ht="21.75" customHeight="1">
      <c r="A1093" s="1" t="str">
        <f>"1204920001914037"</f>
        <v>1204920001914037</v>
      </c>
      <c r="B1093" s="1" t="s">
        <v>4123</v>
      </c>
      <c r="C1093" s="1" t="s">
        <v>4124</v>
      </c>
      <c r="D1093" s="1"/>
      <c r="E1093" s="1" t="s">
        <v>4125</v>
      </c>
      <c r="F1093" s="1" t="s">
        <v>4122</v>
      </c>
      <c r="G1093" s="1">
        <v>572101</v>
      </c>
      <c r="H1093" s="1">
        <v>0.75</v>
      </c>
    </row>
    <row r="1094" spans="1:8" ht="21.75" customHeight="1">
      <c r="A1094" s="1" t="str">
        <f>"1203070000409993"</f>
        <v>1203070000409993</v>
      </c>
      <c r="B1094" s="1" t="s">
        <v>4126</v>
      </c>
      <c r="C1094" s="1" t="s">
        <v>4127</v>
      </c>
      <c r="D1094" s="1" t="s">
        <v>4128</v>
      </c>
      <c r="E1094" s="1" t="s">
        <v>4129</v>
      </c>
      <c r="F1094" s="1" t="s">
        <v>4122</v>
      </c>
      <c r="G1094" s="1">
        <v>572218</v>
      </c>
      <c r="H1094" s="1">
        <v>82.5</v>
      </c>
    </row>
    <row r="1095" spans="1:8" ht="21.75" customHeight="1">
      <c r="A1095" s="1" t="str">
        <f>"1208180007356849"</f>
        <v>1208180007356849</v>
      </c>
      <c r="B1095" s="1" t="s">
        <v>4131</v>
      </c>
      <c r="C1095" s="1" t="s">
        <v>4132</v>
      </c>
      <c r="D1095" s="1" t="s">
        <v>4133</v>
      </c>
      <c r="E1095" s="1"/>
      <c r="F1095" s="1" t="s">
        <v>4130</v>
      </c>
      <c r="G1095" s="1">
        <v>574243</v>
      </c>
      <c r="H1095" s="1">
        <v>3.75</v>
      </c>
    </row>
    <row r="1096" spans="1:8" ht="21.75" customHeight="1">
      <c r="A1096" s="1" t="str">
        <f>"1208160060801850"</f>
        <v>1208160060801850</v>
      </c>
      <c r="B1096" s="1" t="s">
        <v>4135</v>
      </c>
      <c r="C1096" s="1" t="s">
        <v>4136</v>
      </c>
      <c r="D1096" s="1"/>
      <c r="E1096" s="1"/>
      <c r="F1096" s="1" t="s">
        <v>4134</v>
      </c>
      <c r="G1096" s="1">
        <v>575006</v>
      </c>
      <c r="H1096" s="1">
        <v>0.75</v>
      </c>
    </row>
    <row r="1097" spans="1:8" ht="21.75" customHeight="1">
      <c r="A1097" s="1" t="str">
        <f>"1208160083784462"</f>
        <v>1208160083784462</v>
      </c>
      <c r="B1097" s="1" t="s">
        <v>4137</v>
      </c>
      <c r="C1097" s="1" t="s">
        <v>4138</v>
      </c>
      <c r="D1097" s="1" t="s">
        <v>4139</v>
      </c>
      <c r="E1097" s="1"/>
      <c r="F1097" s="1" t="s">
        <v>4130</v>
      </c>
      <c r="G1097" s="1">
        <v>575014</v>
      </c>
      <c r="H1097" s="1">
        <v>15</v>
      </c>
    </row>
    <row r="1098" spans="1:8" ht="21.75" customHeight="1">
      <c r="A1098" s="1" t="str">
        <f>"1203230002598952"</f>
        <v>1203230002598952</v>
      </c>
      <c r="B1098" s="1" t="s">
        <v>4140</v>
      </c>
      <c r="C1098" s="1" t="s">
        <v>4141</v>
      </c>
      <c r="D1098" s="1" t="s">
        <v>4142</v>
      </c>
      <c r="E1098" s="1" t="s">
        <v>4143</v>
      </c>
      <c r="F1098" s="1" t="s">
        <v>4144</v>
      </c>
      <c r="G1098" s="1">
        <v>577004</v>
      </c>
      <c r="H1098" s="1">
        <v>18.75</v>
      </c>
    </row>
    <row r="1099" spans="1:8" ht="21.75" customHeight="1">
      <c r="A1099" s="1" t="str">
        <f>"IN30051383499741"</f>
        <v>IN30051383499741</v>
      </c>
      <c r="B1099" s="1" t="s">
        <v>4145</v>
      </c>
      <c r="C1099" s="1" t="s">
        <v>4146</v>
      </c>
      <c r="D1099" s="1" t="s">
        <v>4147</v>
      </c>
      <c r="E1099" s="1" t="s">
        <v>4148</v>
      </c>
      <c r="F1099" s="1"/>
      <c r="G1099" s="1">
        <v>577005</v>
      </c>
      <c r="H1099" s="1">
        <v>30</v>
      </c>
    </row>
    <row r="1100" spans="1:8" ht="21.75" customHeight="1">
      <c r="A1100" s="1" t="str">
        <f>"1205420000691227"</f>
        <v>1205420000691227</v>
      </c>
      <c r="B1100" s="1" t="s">
        <v>4149</v>
      </c>
      <c r="C1100" s="1" t="s">
        <v>4150</v>
      </c>
      <c r="D1100" s="1" t="s">
        <v>4151</v>
      </c>
      <c r="E1100" s="1" t="s">
        <v>4152</v>
      </c>
      <c r="F1100" s="1" t="s">
        <v>4144</v>
      </c>
      <c r="G1100" s="1">
        <v>577005</v>
      </c>
      <c r="H1100" s="1">
        <v>2.25</v>
      </c>
    </row>
    <row r="1101" spans="1:8" ht="21.75" customHeight="1">
      <c r="A1101" s="1" t="str">
        <f>"IN30214811166646"</f>
        <v>IN30214811166646</v>
      </c>
      <c r="B1101" s="1" t="s">
        <v>4153</v>
      </c>
      <c r="C1101" s="1" t="s">
        <v>4154</v>
      </c>
      <c r="D1101" s="1" t="s">
        <v>4155</v>
      </c>
      <c r="E1101" s="1" t="s">
        <v>4156</v>
      </c>
      <c r="F1101" s="1"/>
      <c r="G1101" s="1">
        <v>577129</v>
      </c>
      <c r="H1101" s="1">
        <v>75</v>
      </c>
    </row>
    <row r="1102" spans="1:8" ht="21.75" customHeight="1">
      <c r="A1102" s="1" t="str">
        <f>"1201090007867044"</f>
        <v>1201090007867044</v>
      </c>
      <c r="B1102" s="1" t="s">
        <v>4157</v>
      </c>
      <c r="C1102" s="1" t="s">
        <v>4158</v>
      </c>
      <c r="D1102" s="1" t="s">
        <v>4159</v>
      </c>
      <c r="E1102" s="1" t="s">
        <v>4160</v>
      </c>
      <c r="F1102" s="1" t="s">
        <v>348</v>
      </c>
      <c r="G1102" s="1">
        <v>577429</v>
      </c>
      <c r="H1102" s="1">
        <v>225</v>
      </c>
    </row>
    <row r="1103" spans="1:8" ht="21.75" customHeight="1">
      <c r="A1103" s="1" t="str">
        <f>"IN30021420416040"</f>
        <v>IN30021420416040</v>
      </c>
      <c r="B1103" s="1" t="s">
        <v>4161</v>
      </c>
      <c r="C1103" s="1" t="s">
        <v>4162</v>
      </c>
      <c r="D1103" s="1" t="s">
        <v>4163</v>
      </c>
      <c r="E1103" s="1" t="s">
        <v>4164</v>
      </c>
      <c r="F1103" s="1"/>
      <c r="G1103" s="1">
        <v>577501</v>
      </c>
      <c r="H1103" s="1">
        <v>51.75</v>
      </c>
    </row>
    <row r="1104" spans="1:8" ht="21.75" customHeight="1">
      <c r="A1104" s="1" t="str">
        <f>"IN30023915363103"</f>
        <v>IN30023915363103</v>
      </c>
      <c r="B1104" s="1" t="s">
        <v>4166</v>
      </c>
      <c r="C1104" s="1" t="s">
        <v>4167</v>
      </c>
      <c r="D1104" s="1" t="s">
        <v>4168</v>
      </c>
      <c r="E1104" s="1" t="s">
        <v>4169</v>
      </c>
      <c r="F1104" s="1"/>
      <c r="G1104" s="1">
        <v>580008</v>
      </c>
      <c r="H1104" s="1">
        <v>2.25</v>
      </c>
    </row>
    <row r="1105" spans="1:8" ht="21.75" customHeight="1">
      <c r="A1105" s="1" t="str">
        <f>"1208180033998976"</f>
        <v>1208180033998976</v>
      </c>
      <c r="B1105" s="1" t="s">
        <v>4172</v>
      </c>
      <c r="C1105" s="1" t="s">
        <v>4173</v>
      </c>
      <c r="D1105" s="1" t="s">
        <v>4174</v>
      </c>
      <c r="E1105" s="1"/>
      <c r="F1105" s="1" t="s">
        <v>4171</v>
      </c>
      <c r="G1105" s="1">
        <v>581108</v>
      </c>
      <c r="H1105" s="1">
        <v>3.75</v>
      </c>
    </row>
    <row r="1106" spans="1:8" ht="21.75" customHeight="1">
      <c r="A1106" s="1" t="str">
        <f>"1203840001643275"</f>
        <v>1203840001643275</v>
      </c>
      <c r="B1106" s="1" t="s">
        <v>4175</v>
      </c>
      <c r="C1106" s="1" t="s">
        <v>4176</v>
      </c>
      <c r="D1106" s="1" t="s">
        <v>4177</v>
      </c>
      <c r="E1106" s="1"/>
      <c r="F1106" s="1" t="s">
        <v>4178</v>
      </c>
      <c r="G1106" s="1">
        <v>581115</v>
      </c>
      <c r="H1106" s="1">
        <v>15</v>
      </c>
    </row>
    <row r="1107" spans="1:8" ht="21.75" customHeight="1">
      <c r="A1107" s="1" t="str">
        <f>"1208160012517538"</f>
        <v>1208160012517538</v>
      </c>
      <c r="B1107" s="1" t="s">
        <v>4179</v>
      </c>
      <c r="C1107" s="1" t="s">
        <v>4180</v>
      </c>
      <c r="D1107" s="1" t="s">
        <v>410</v>
      </c>
      <c r="E1107" s="1"/>
      <c r="F1107" s="1" t="s">
        <v>356</v>
      </c>
      <c r="G1107" s="1">
        <v>581351</v>
      </c>
      <c r="H1107" s="1">
        <v>11.25</v>
      </c>
    </row>
    <row r="1108" spans="1:8" ht="21.75" customHeight="1">
      <c r="A1108" s="1" t="str">
        <f>"IN30226914214815"</f>
        <v>IN30226914214815</v>
      </c>
      <c r="B1108" s="1" t="s">
        <v>4181</v>
      </c>
      <c r="C1108" s="1" t="s">
        <v>4182</v>
      </c>
      <c r="D1108" s="1" t="s">
        <v>4183</v>
      </c>
      <c r="E1108" s="1" t="s">
        <v>4184</v>
      </c>
      <c r="F1108" s="1"/>
      <c r="G1108" s="1">
        <v>581403</v>
      </c>
      <c r="H1108" s="1">
        <v>37.5</v>
      </c>
    </row>
    <row r="1109" spans="1:8" ht="21.75" customHeight="1">
      <c r="A1109" s="1" t="str">
        <f>"IN30023916201737"</f>
        <v>IN30023916201737</v>
      </c>
      <c r="B1109" s="1" t="s">
        <v>4186</v>
      </c>
      <c r="C1109" s="1" t="s">
        <v>4187</v>
      </c>
      <c r="D1109" s="1" t="s">
        <v>4188</v>
      </c>
      <c r="E1109" s="1" t="s">
        <v>4189</v>
      </c>
      <c r="F1109" s="1"/>
      <c r="G1109" s="1">
        <v>582103</v>
      </c>
      <c r="H1109" s="1">
        <v>11.25</v>
      </c>
    </row>
    <row r="1110" spans="1:8" ht="21.75" customHeight="1">
      <c r="A1110" s="1" t="str">
        <f>"1208180034209934"</f>
        <v>1208180034209934</v>
      </c>
      <c r="B1110" s="1" t="s">
        <v>4190</v>
      </c>
      <c r="C1110" s="1" t="s">
        <v>4191</v>
      </c>
      <c r="D1110" s="1" t="s">
        <v>4192</v>
      </c>
      <c r="E1110" s="1" t="s">
        <v>1797</v>
      </c>
      <c r="F1110" s="1" t="s">
        <v>1797</v>
      </c>
      <c r="G1110" s="1">
        <v>583103</v>
      </c>
      <c r="H1110" s="1">
        <v>0.75</v>
      </c>
    </row>
    <row r="1111" spans="1:8" ht="21.75" customHeight="1">
      <c r="A1111" s="1" t="str">
        <f>"1203320005093037"</f>
        <v>1203320005093037</v>
      </c>
      <c r="B1111" s="1" t="s">
        <v>4193</v>
      </c>
      <c r="C1111" s="1" t="s">
        <v>4194</v>
      </c>
      <c r="D1111" s="1"/>
      <c r="E1111" s="1"/>
      <c r="F1111" s="1" t="s">
        <v>4195</v>
      </c>
      <c r="G1111" s="1">
        <v>583124</v>
      </c>
      <c r="H1111" s="1">
        <v>0.75</v>
      </c>
    </row>
    <row r="1112" spans="1:8" ht="21.75" customHeight="1">
      <c r="A1112" s="1" t="str">
        <f>"1208180026705358"</f>
        <v>1208180026705358</v>
      </c>
      <c r="B1112" s="1" t="s">
        <v>4197</v>
      </c>
      <c r="C1112" s="1" t="s">
        <v>4198</v>
      </c>
      <c r="D1112" s="1" t="s">
        <v>4199</v>
      </c>
      <c r="E1112" s="1"/>
      <c r="F1112" s="1" t="s">
        <v>1797</v>
      </c>
      <c r="G1112" s="1">
        <v>583129</v>
      </c>
      <c r="H1112" s="1">
        <v>26.25</v>
      </c>
    </row>
    <row r="1113" spans="1:8" ht="21.75" customHeight="1">
      <c r="A1113" s="1" t="str">
        <f>"IN30226911405775"</f>
        <v>IN30226911405775</v>
      </c>
      <c r="B1113" s="1" t="s">
        <v>4200</v>
      </c>
      <c r="C1113" s="1" t="s">
        <v>4201</v>
      </c>
      <c r="D1113" s="1" t="s">
        <v>4202</v>
      </c>
      <c r="E1113" s="1" t="s">
        <v>326</v>
      </c>
      <c r="F1113" s="1"/>
      <c r="G1113" s="1">
        <v>583132</v>
      </c>
      <c r="H1113" s="1">
        <v>6</v>
      </c>
    </row>
    <row r="1114" spans="1:8" ht="21.75" customHeight="1">
      <c r="A1114" s="1" t="str">
        <f>"1208160093019791"</f>
        <v>1208160093019791</v>
      </c>
      <c r="B1114" s="1" t="s">
        <v>4204</v>
      </c>
      <c r="C1114" s="1" t="s">
        <v>4205</v>
      </c>
      <c r="D1114" s="1" t="s">
        <v>4206</v>
      </c>
      <c r="E1114" s="1"/>
      <c r="F1114" s="1" t="s">
        <v>4207</v>
      </c>
      <c r="G1114" s="1">
        <v>583201</v>
      </c>
      <c r="H1114" s="1">
        <v>56.25</v>
      </c>
    </row>
    <row r="1115" spans="1:8" ht="21.75" customHeight="1">
      <c r="A1115" s="1" t="str">
        <f>"IN30021423412311"</f>
        <v>IN30021423412311</v>
      </c>
      <c r="B1115" s="1" t="s">
        <v>4208</v>
      </c>
      <c r="C1115" s="1" t="s">
        <v>4209</v>
      </c>
      <c r="D1115" s="1" t="s">
        <v>4210</v>
      </c>
      <c r="E1115" s="1" t="s">
        <v>4211</v>
      </c>
      <c r="F1115" s="1"/>
      <c r="G1115" s="1">
        <v>583201</v>
      </c>
      <c r="H1115" s="1">
        <v>3.75</v>
      </c>
    </row>
    <row r="1116" spans="1:8" ht="21.75" customHeight="1">
      <c r="A1116" s="1" t="str">
        <f>"1204920002030977"</f>
        <v>1204920002030977</v>
      </c>
      <c r="B1116" s="1" t="s">
        <v>4212</v>
      </c>
      <c r="C1116" s="1" t="s">
        <v>4213</v>
      </c>
      <c r="D1116" s="1" t="s">
        <v>4214</v>
      </c>
      <c r="E1116" s="1" t="s">
        <v>4215</v>
      </c>
      <c r="F1116" s="1" t="s">
        <v>1797</v>
      </c>
      <c r="G1116" s="1">
        <v>583219</v>
      </c>
      <c r="H1116" s="1">
        <v>0.75</v>
      </c>
    </row>
    <row r="1117" spans="1:8" ht="21.75" customHeight="1">
      <c r="A1117" s="1" t="str">
        <f>"1208180052778816"</f>
        <v>1208180052778816</v>
      </c>
      <c r="B1117" s="1" t="s">
        <v>4217</v>
      </c>
      <c r="C1117" s="1" t="s">
        <v>4218</v>
      </c>
      <c r="D1117" s="1" t="s">
        <v>4219</v>
      </c>
      <c r="E1117" s="1"/>
      <c r="F1117" s="1" t="s">
        <v>4216</v>
      </c>
      <c r="G1117" s="1">
        <v>583283</v>
      </c>
      <c r="H1117" s="1">
        <v>2.25</v>
      </c>
    </row>
    <row r="1118" spans="1:8" ht="21.75" customHeight="1">
      <c r="A1118" s="1" t="str">
        <f>"IN30429520526054"</f>
        <v>IN30429520526054</v>
      </c>
      <c r="B1118" s="1" t="s">
        <v>4220</v>
      </c>
      <c r="C1118" s="1" t="s">
        <v>4221</v>
      </c>
      <c r="D1118" s="1" t="s">
        <v>4222</v>
      </c>
      <c r="E1118" s="1" t="s">
        <v>4223</v>
      </c>
      <c r="F1118" s="1"/>
      <c r="G1118" s="1">
        <v>584101</v>
      </c>
      <c r="H1118" s="1">
        <v>3</v>
      </c>
    </row>
    <row r="1119" spans="1:8" ht="21.75" customHeight="1">
      <c r="A1119" s="1" t="str">
        <f>"1201090007241136"</f>
        <v>1201090007241136</v>
      </c>
      <c r="B1119" s="1" t="s">
        <v>4225</v>
      </c>
      <c r="C1119" s="1" t="s">
        <v>4226</v>
      </c>
      <c r="D1119" s="1" t="s">
        <v>4227</v>
      </c>
      <c r="E1119" s="1" t="s">
        <v>4224</v>
      </c>
      <c r="F1119" s="1" t="s">
        <v>4224</v>
      </c>
      <c r="G1119" s="1">
        <v>584101</v>
      </c>
      <c r="H1119" s="1">
        <v>75</v>
      </c>
    </row>
    <row r="1120" spans="1:8" ht="21.75" customHeight="1">
      <c r="A1120" s="1" t="str">
        <f>"1208160006533954"</f>
        <v>1208160006533954</v>
      </c>
      <c r="B1120" s="1" t="s">
        <v>4229</v>
      </c>
      <c r="C1120" s="1" t="s">
        <v>4230</v>
      </c>
      <c r="D1120" s="1" t="s">
        <v>4231</v>
      </c>
      <c r="E1120" s="1" t="s">
        <v>4232</v>
      </c>
      <c r="F1120" s="1" t="s">
        <v>4228</v>
      </c>
      <c r="G1120" s="1">
        <v>585103</v>
      </c>
      <c r="H1120" s="1">
        <v>37.5</v>
      </c>
    </row>
    <row r="1121" spans="1:8" ht="21.75" customHeight="1">
      <c r="A1121" s="1" t="str">
        <f>"1203500000981010"</f>
        <v>1203500000981010</v>
      </c>
      <c r="B1121" s="1" t="s">
        <v>4233</v>
      </c>
      <c r="C1121" s="1" t="s">
        <v>4234</v>
      </c>
      <c r="D1121" s="1" t="s">
        <v>4235</v>
      </c>
      <c r="E1121" s="1" t="s">
        <v>4236</v>
      </c>
      <c r="F1121" s="1" t="s">
        <v>357</v>
      </c>
      <c r="G1121" s="1">
        <v>591108</v>
      </c>
      <c r="H1121" s="1">
        <v>37.5</v>
      </c>
    </row>
    <row r="1122" spans="1:8" ht="21.75" customHeight="1">
      <c r="A1122" s="1" t="str">
        <f>"IN30089610517444"</f>
        <v>IN30089610517444</v>
      </c>
      <c r="B1122" s="1" t="s">
        <v>4237</v>
      </c>
      <c r="C1122" s="1" t="s">
        <v>4238</v>
      </c>
      <c r="D1122" s="1" t="s">
        <v>4239</v>
      </c>
      <c r="E1122" s="1" t="s">
        <v>4240</v>
      </c>
      <c r="F1122" s="1"/>
      <c r="G1122" s="1">
        <v>591108</v>
      </c>
      <c r="H1122" s="1">
        <v>39.75</v>
      </c>
    </row>
    <row r="1123" spans="1:8" ht="21.75" customHeight="1">
      <c r="A1123" s="1" t="str">
        <f>"1204920002460315"</f>
        <v>1204920002460315</v>
      </c>
      <c r="B1123" s="1" t="s">
        <v>4241</v>
      </c>
      <c r="C1123" s="1" t="s">
        <v>4242</v>
      </c>
      <c r="D1123" s="1" t="s">
        <v>4243</v>
      </c>
      <c r="E1123" s="1" t="s">
        <v>410</v>
      </c>
      <c r="F1123" s="1" t="s">
        <v>357</v>
      </c>
      <c r="G1123" s="1">
        <v>591211</v>
      </c>
      <c r="H1123" s="1">
        <v>3.75</v>
      </c>
    </row>
    <row r="1124" spans="1:8" ht="21.75" customHeight="1">
      <c r="A1124" s="1" t="str">
        <f>"1201091900080861"</f>
        <v>1201091900080861</v>
      </c>
      <c r="B1124" s="1" t="s">
        <v>4244</v>
      </c>
      <c r="C1124" s="1" t="s">
        <v>4245</v>
      </c>
      <c r="D1124" s="1" t="s">
        <v>4246</v>
      </c>
      <c r="E1124" s="1" t="s">
        <v>4247</v>
      </c>
      <c r="F1124" s="1" t="s">
        <v>357</v>
      </c>
      <c r="G1124" s="1">
        <v>591237</v>
      </c>
      <c r="H1124" s="1">
        <v>81</v>
      </c>
    </row>
    <row r="1125" spans="1:8" ht="21.75" customHeight="1">
      <c r="A1125" s="1" t="str">
        <f>"1203320030697587"</f>
        <v>1203320030697587</v>
      </c>
      <c r="B1125" s="1" t="s">
        <v>4248</v>
      </c>
      <c r="C1125" s="1" t="s">
        <v>4249</v>
      </c>
      <c r="D1125" s="1" t="s">
        <v>4250</v>
      </c>
      <c r="E1125" s="1"/>
      <c r="F1125" s="1" t="s">
        <v>58</v>
      </c>
      <c r="G1125" s="1">
        <v>600001</v>
      </c>
      <c r="H1125" s="1">
        <v>17.25</v>
      </c>
    </row>
    <row r="1126" spans="1:8" ht="21.75" customHeight="1">
      <c r="A1126" s="1" t="str">
        <f>"1204920002427672"</f>
        <v>1204920002427672</v>
      </c>
      <c r="B1126" s="1" t="s">
        <v>4251</v>
      </c>
      <c r="C1126" s="1" t="s">
        <v>4252</v>
      </c>
      <c r="D1126" s="1" t="s">
        <v>4253</v>
      </c>
      <c r="E1126" s="1" t="s">
        <v>410</v>
      </c>
      <c r="F1126" s="1" t="s">
        <v>58</v>
      </c>
      <c r="G1126" s="1">
        <v>600004</v>
      </c>
      <c r="H1126" s="1">
        <v>0.75</v>
      </c>
    </row>
    <row r="1127" spans="1:8" ht="21.75" customHeight="1">
      <c r="A1127" s="1" t="str">
        <f>"IN30023911832733"</f>
        <v>IN30023911832733</v>
      </c>
      <c r="B1127" s="1" t="s">
        <v>4254</v>
      </c>
      <c r="C1127" s="1" t="s">
        <v>4255</v>
      </c>
      <c r="D1127" s="1" t="s">
        <v>4256</v>
      </c>
      <c r="E1127" s="1" t="s">
        <v>4257</v>
      </c>
      <c r="F1127" s="1"/>
      <c r="G1127" s="1">
        <v>600004</v>
      </c>
      <c r="H1127" s="1">
        <v>4.5</v>
      </c>
    </row>
    <row r="1128" spans="1:8" ht="21.75" customHeight="1">
      <c r="A1128" s="1" t="str">
        <f>"IN30307710637812"</f>
        <v>IN30307710637812</v>
      </c>
      <c r="B1128" s="1" t="s">
        <v>4258</v>
      </c>
      <c r="C1128" s="1" t="s">
        <v>4259</v>
      </c>
      <c r="D1128" s="1" t="s">
        <v>4260</v>
      </c>
      <c r="E1128" s="1" t="s">
        <v>4261</v>
      </c>
      <c r="F1128" s="1"/>
      <c r="G1128" s="1">
        <v>600004</v>
      </c>
      <c r="H1128" s="1">
        <v>75</v>
      </c>
    </row>
    <row r="1129" spans="1:8" ht="21.75" customHeight="1">
      <c r="A1129" s="1" t="str">
        <f>"1204470002750775"</f>
        <v>1204470002750775</v>
      </c>
      <c r="B1129" s="1" t="s">
        <v>4262</v>
      </c>
      <c r="C1129" s="1" t="s">
        <v>4263</v>
      </c>
      <c r="D1129" s="1" t="s">
        <v>4264</v>
      </c>
      <c r="E1129" s="1" t="s">
        <v>4265</v>
      </c>
      <c r="F1129" s="1" t="s">
        <v>58</v>
      </c>
      <c r="G1129" s="1">
        <v>600006</v>
      </c>
      <c r="H1129" s="1">
        <v>73.5</v>
      </c>
    </row>
    <row r="1130" spans="1:8" ht="21.75" customHeight="1">
      <c r="A1130" s="1" t="str">
        <f>"1204920002226721"</f>
        <v>1204920002226721</v>
      </c>
      <c r="B1130" s="1" t="s">
        <v>4266</v>
      </c>
      <c r="C1130" s="1" t="s">
        <v>4267</v>
      </c>
      <c r="D1130" s="1" t="s">
        <v>4268</v>
      </c>
      <c r="E1130" s="1" t="s">
        <v>410</v>
      </c>
      <c r="F1130" s="1" t="s">
        <v>58</v>
      </c>
      <c r="G1130" s="1">
        <v>600012</v>
      </c>
      <c r="H1130" s="1">
        <v>0.75</v>
      </c>
    </row>
    <row r="1131" spans="1:8" ht="21.75" customHeight="1">
      <c r="A1131" s="1" t="str">
        <f>"IN30163760059279"</f>
        <v>IN30163760059279</v>
      </c>
      <c r="B1131" s="1" t="s">
        <v>4269</v>
      </c>
      <c r="C1131" s="1" t="s">
        <v>4270</v>
      </c>
      <c r="D1131" s="1" t="s">
        <v>4271</v>
      </c>
      <c r="E1131" s="1" t="s">
        <v>370</v>
      </c>
      <c r="F1131" s="1"/>
      <c r="G1131" s="1">
        <v>600012</v>
      </c>
      <c r="H1131" s="1">
        <v>75</v>
      </c>
    </row>
    <row r="1132" spans="1:8" ht="21.75" customHeight="1">
      <c r="A1132" s="1" t="str">
        <f>"1208160084108221"</f>
        <v>1208160084108221</v>
      </c>
      <c r="B1132" s="1" t="s">
        <v>4272</v>
      </c>
      <c r="C1132" s="1" t="s">
        <v>4273</v>
      </c>
      <c r="D1132" s="1"/>
      <c r="E1132" s="1"/>
      <c r="F1132" s="1" t="s">
        <v>58</v>
      </c>
      <c r="G1132" s="1">
        <v>600013</v>
      </c>
      <c r="H1132" s="1">
        <v>15</v>
      </c>
    </row>
    <row r="1133" spans="1:8" ht="21.75" customHeight="1">
      <c r="A1133" s="1" t="str">
        <f>"IN30057210092254"</f>
        <v>IN30057210092254</v>
      </c>
      <c r="B1133" s="1" t="s">
        <v>4274</v>
      </c>
      <c r="C1133" s="1" t="s">
        <v>4275</v>
      </c>
      <c r="D1133" s="1" t="s">
        <v>4276</v>
      </c>
      <c r="E1133" s="1" t="s">
        <v>4277</v>
      </c>
      <c r="F1133" s="1"/>
      <c r="G1133" s="1">
        <v>600014</v>
      </c>
      <c r="H1133" s="1">
        <v>1.5</v>
      </c>
    </row>
    <row r="1134" spans="1:8" ht="21.75" customHeight="1">
      <c r="A1134" s="1" t="str">
        <f>"1204920002224933"</f>
        <v>1204920002224933</v>
      </c>
      <c r="B1134" s="1" t="s">
        <v>4278</v>
      </c>
      <c r="C1134" s="1" t="s">
        <v>4279</v>
      </c>
      <c r="D1134" s="1" t="s">
        <v>4280</v>
      </c>
      <c r="E1134" s="1" t="s">
        <v>4281</v>
      </c>
      <c r="F1134" s="1" t="s">
        <v>58</v>
      </c>
      <c r="G1134" s="1">
        <v>600015</v>
      </c>
      <c r="H1134" s="1">
        <v>0.75</v>
      </c>
    </row>
    <row r="1135" spans="1:8" ht="21.75" customHeight="1">
      <c r="A1135" s="1" t="str">
        <f>"1204920001950614"</f>
        <v>1204920001950614</v>
      </c>
      <c r="B1135" s="1" t="s">
        <v>4283</v>
      </c>
      <c r="C1135" s="1" t="s">
        <v>4284</v>
      </c>
      <c r="D1135" s="1"/>
      <c r="E1135" s="1"/>
      <c r="F1135" s="1" t="s">
        <v>4282</v>
      </c>
      <c r="G1135" s="1">
        <v>600016</v>
      </c>
      <c r="H1135" s="1">
        <v>0.75</v>
      </c>
    </row>
    <row r="1136" spans="1:8" ht="21.75" customHeight="1">
      <c r="A1136" s="1" t="str">
        <f>"1204920002250495"</f>
        <v>1204920002250495</v>
      </c>
      <c r="B1136" s="1" t="s">
        <v>4285</v>
      </c>
      <c r="C1136" s="1" t="s">
        <v>4286</v>
      </c>
      <c r="D1136" s="1" t="s">
        <v>4287</v>
      </c>
      <c r="E1136" s="1" t="s">
        <v>410</v>
      </c>
      <c r="F1136" s="1" t="s">
        <v>58</v>
      </c>
      <c r="G1136" s="1">
        <v>600017</v>
      </c>
      <c r="H1136" s="1">
        <v>0.75</v>
      </c>
    </row>
    <row r="1137" spans="1:8" ht="21.75" customHeight="1">
      <c r="A1137" s="1" t="str">
        <f>"1204920002283793"</f>
        <v>1204920002283793</v>
      </c>
      <c r="B1137" s="1" t="s">
        <v>4288</v>
      </c>
      <c r="C1137" s="1" t="s">
        <v>4289</v>
      </c>
      <c r="D1137" s="1" t="s">
        <v>4290</v>
      </c>
      <c r="E1137" s="1"/>
      <c r="F1137" s="1" t="s">
        <v>58</v>
      </c>
      <c r="G1137" s="1">
        <v>600017</v>
      </c>
      <c r="H1137" s="1">
        <v>0.75</v>
      </c>
    </row>
    <row r="1138" spans="1:8" ht="21.75" customHeight="1">
      <c r="A1138" s="1" t="str">
        <f>"1204920002195451"</f>
        <v>1204920002195451</v>
      </c>
      <c r="B1138" s="1" t="s">
        <v>4292</v>
      </c>
      <c r="C1138" s="1" t="s">
        <v>4293</v>
      </c>
      <c r="D1138" s="1" t="s">
        <v>4294</v>
      </c>
      <c r="E1138" s="1"/>
      <c r="F1138" s="1" t="s">
        <v>4291</v>
      </c>
      <c r="G1138" s="1">
        <v>600019</v>
      </c>
      <c r="H1138" s="1">
        <v>0.75</v>
      </c>
    </row>
    <row r="1139" spans="1:8" ht="21.75" customHeight="1">
      <c r="A1139" s="1" t="str">
        <f>"1203320007119781"</f>
        <v>1203320007119781</v>
      </c>
      <c r="B1139" s="1" t="s">
        <v>4295</v>
      </c>
      <c r="C1139" s="1" t="s">
        <v>4296</v>
      </c>
      <c r="D1139" s="1" t="s">
        <v>4297</v>
      </c>
      <c r="E1139" s="1" t="s">
        <v>4298</v>
      </c>
      <c r="F1139" s="1" t="s">
        <v>58</v>
      </c>
      <c r="G1139" s="1">
        <v>600020</v>
      </c>
      <c r="H1139" s="1">
        <v>75</v>
      </c>
    </row>
    <row r="1140" spans="1:8" ht="21.75" customHeight="1">
      <c r="A1140" s="1" t="str">
        <f>"1203320016135524"</f>
        <v>1203320016135524</v>
      </c>
      <c r="B1140" s="1" t="s">
        <v>4299</v>
      </c>
      <c r="C1140" s="1" t="s">
        <v>4300</v>
      </c>
      <c r="D1140" s="1" t="s">
        <v>4301</v>
      </c>
      <c r="E1140" s="1" t="s">
        <v>4302</v>
      </c>
      <c r="F1140" s="1" t="s">
        <v>58</v>
      </c>
      <c r="G1140" s="1">
        <v>600021</v>
      </c>
      <c r="H1140" s="1">
        <v>2.25</v>
      </c>
    </row>
    <row r="1141" spans="1:8" ht="21.75" customHeight="1">
      <c r="A1141" s="1" t="str">
        <f>"1204920001997431"</f>
        <v>1204920001997431</v>
      </c>
      <c r="B1141" s="1" t="s">
        <v>4303</v>
      </c>
      <c r="C1141" s="1" t="s">
        <v>4304</v>
      </c>
      <c r="D1141" s="1" t="s">
        <v>4305</v>
      </c>
      <c r="E1141" s="1" t="s">
        <v>410</v>
      </c>
      <c r="F1141" s="1" t="s">
        <v>58</v>
      </c>
      <c r="G1141" s="1">
        <v>600023</v>
      </c>
      <c r="H1141" s="1">
        <v>12</v>
      </c>
    </row>
    <row r="1142" spans="1:8" ht="21.75" customHeight="1">
      <c r="A1142" s="1" t="str">
        <f>"1201090001615706"</f>
        <v>1201090001615706</v>
      </c>
      <c r="B1142" s="1" t="s">
        <v>4306</v>
      </c>
      <c r="C1142" s="1" t="s">
        <v>4307</v>
      </c>
      <c r="D1142" s="1" t="s">
        <v>4308</v>
      </c>
      <c r="E1142" s="1" t="s">
        <v>4309</v>
      </c>
      <c r="F1142" s="1" t="s">
        <v>58</v>
      </c>
      <c r="G1142" s="1">
        <v>600023</v>
      </c>
      <c r="H1142" s="1">
        <v>37.5</v>
      </c>
    </row>
    <row r="1143" spans="1:8" ht="21.75" customHeight="1">
      <c r="A1143" s="1" t="str">
        <f>"1208160000043638"</f>
        <v>1208160000043638</v>
      </c>
      <c r="B1143" s="1" t="s">
        <v>4310</v>
      </c>
      <c r="C1143" s="1" t="s">
        <v>4311</v>
      </c>
      <c r="D1143" s="1" t="s">
        <v>4312</v>
      </c>
      <c r="E1143" s="1"/>
      <c r="F1143" s="1" t="s">
        <v>58</v>
      </c>
      <c r="G1143" s="1">
        <v>600024</v>
      </c>
      <c r="H1143" s="1">
        <v>15</v>
      </c>
    </row>
    <row r="1144" spans="1:8" ht="21.75" customHeight="1">
      <c r="A1144" s="1" t="str">
        <f>"1204920002051180"</f>
        <v>1204920002051180</v>
      </c>
      <c r="B1144" s="1" t="s">
        <v>4313</v>
      </c>
      <c r="C1144" s="1" t="s">
        <v>4314</v>
      </c>
      <c r="D1144" s="1" t="s">
        <v>4315</v>
      </c>
      <c r="E1144" s="1" t="s">
        <v>410</v>
      </c>
      <c r="F1144" s="1" t="s">
        <v>58</v>
      </c>
      <c r="G1144" s="1">
        <v>600035</v>
      </c>
      <c r="H1144" s="1">
        <v>1.5</v>
      </c>
    </row>
    <row r="1145" spans="1:8" ht="21.75" customHeight="1">
      <c r="A1145" s="1" t="str">
        <f>"1208160070589932"</f>
        <v>1208160070589932</v>
      </c>
      <c r="B1145" s="1" t="s">
        <v>4316</v>
      </c>
      <c r="C1145" s="1" t="s">
        <v>4317</v>
      </c>
      <c r="D1145" s="1" t="s">
        <v>4318</v>
      </c>
      <c r="E1145" s="1"/>
      <c r="F1145" s="1" t="s">
        <v>58</v>
      </c>
      <c r="G1145" s="1">
        <v>600037</v>
      </c>
      <c r="H1145" s="1">
        <v>0.75</v>
      </c>
    </row>
    <row r="1146" spans="1:8" ht="21.75" customHeight="1">
      <c r="A1146" s="1" t="str">
        <f>"IN30429514555656"</f>
        <v>IN30429514555656</v>
      </c>
      <c r="B1146" s="1" t="s">
        <v>4319</v>
      </c>
      <c r="C1146" s="1" t="s">
        <v>4320</v>
      </c>
      <c r="D1146" s="1" t="s">
        <v>4321</v>
      </c>
      <c r="E1146" s="1" t="s">
        <v>4322</v>
      </c>
      <c r="F1146" s="1"/>
      <c r="G1146" s="1">
        <v>600037</v>
      </c>
      <c r="H1146" s="1">
        <v>3.75</v>
      </c>
    </row>
    <row r="1147" spans="1:8" ht="21.75" customHeight="1">
      <c r="A1147" s="1" t="str">
        <f>"IN30389210000772"</f>
        <v>IN30389210000772</v>
      </c>
      <c r="B1147" s="1" t="s">
        <v>4323</v>
      </c>
      <c r="C1147" s="1" t="s">
        <v>4324</v>
      </c>
      <c r="D1147" s="1" t="s">
        <v>4325</v>
      </c>
      <c r="E1147" s="1" t="s">
        <v>4326</v>
      </c>
      <c r="F1147" s="1"/>
      <c r="G1147" s="1">
        <v>600037</v>
      </c>
      <c r="H1147" s="1">
        <v>37.5</v>
      </c>
    </row>
    <row r="1148" spans="1:8" ht="21.75" customHeight="1">
      <c r="A1148" s="1" t="str">
        <f>"1204920002445970"</f>
        <v>1204920002445970</v>
      </c>
      <c r="B1148" s="1" t="s">
        <v>4328</v>
      </c>
      <c r="C1148" s="1" t="s">
        <v>4329</v>
      </c>
      <c r="D1148" s="1" t="s">
        <v>4330</v>
      </c>
      <c r="E1148" s="1" t="s">
        <v>410</v>
      </c>
      <c r="F1148" s="1" t="s">
        <v>58</v>
      </c>
      <c r="G1148" s="1">
        <v>600039</v>
      </c>
      <c r="H1148" s="1">
        <v>0.75</v>
      </c>
    </row>
    <row r="1149" spans="1:8" ht="21.75" customHeight="1">
      <c r="A1149" s="1" t="str">
        <f>"1208180016714066"</f>
        <v>1208180016714066</v>
      </c>
      <c r="B1149" s="1" t="s">
        <v>4331</v>
      </c>
      <c r="C1149" s="1" t="s">
        <v>4332</v>
      </c>
      <c r="D1149" s="1" t="s">
        <v>4333</v>
      </c>
      <c r="E1149" s="1" t="s">
        <v>4334</v>
      </c>
      <c r="F1149" s="1" t="s">
        <v>58</v>
      </c>
      <c r="G1149" s="1">
        <v>600039</v>
      </c>
      <c r="H1149" s="1">
        <v>18.75</v>
      </c>
    </row>
    <row r="1150" spans="1:8" ht="21.75" customHeight="1">
      <c r="A1150" s="1" t="str">
        <f>"IN30051381303963"</f>
        <v>IN30051381303963</v>
      </c>
      <c r="B1150" s="1" t="s">
        <v>4335</v>
      </c>
      <c r="C1150" s="1" t="s">
        <v>4336</v>
      </c>
      <c r="D1150" s="1" t="s">
        <v>4337</v>
      </c>
      <c r="E1150" s="1" t="s">
        <v>4338</v>
      </c>
      <c r="F1150" s="1"/>
      <c r="G1150" s="1">
        <v>600039</v>
      </c>
      <c r="H1150" s="1">
        <v>15</v>
      </c>
    </row>
    <row r="1151" spans="1:8" ht="21.75" customHeight="1">
      <c r="A1151" s="1" t="str">
        <f>"1204920002317456"</f>
        <v>1204920002317456</v>
      </c>
      <c r="B1151" s="1" t="s">
        <v>4339</v>
      </c>
      <c r="C1151" s="1" t="s">
        <v>4340</v>
      </c>
      <c r="D1151" s="1" t="s">
        <v>4341</v>
      </c>
      <c r="E1151" s="1" t="s">
        <v>4342</v>
      </c>
      <c r="F1151" s="1" t="s">
        <v>58</v>
      </c>
      <c r="G1151" s="1">
        <v>600041</v>
      </c>
      <c r="H1151" s="1">
        <v>0.75</v>
      </c>
    </row>
    <row r="1152" spans="1:8" ht="21.75" customHeight="1">
      <c r="A1152" s="1" t="str">
        <f>"IN30163741328717"</f>
        <v>IN30163741328717</v>
      </c>
      <c r="B1152" s="1" t="s">
        <v>4343</v>
      </c>
      <c r="C1152" s="1" t="s">
        <v>4344</v>
      </c>
      <c r="D1152" s="1" t="s">
        <v>4345</v>
      </c>
      <c r="E1152" s="1" t="s">
        <v>4346</v>
      </c>
      <c r="F1152" s="1"/>
      <c r="G1152" s="1">
        <v>600041</v>
      </c>
      <c r="H1152" s="1">
        <v>37.5</v>
      </c>
    </row>
    <row r="1153" spans="1:8" ht="21.75" customHeight="1">
      <c r="A1153" s="1" t="str">
        <f>"1204920002332014"</f>
        <v>1204920002332014</v>
      </c>
      <c r="B1153" s="1" t="s">
        <v>4347</v>
      </c>
      <c r="C1153" s="1" t="s">
        <v>4348</v>
      </c>
      <c r="D1153" s="1" t="s">
        <v>4349</v>
      </c>
      <c r="E1153" s="1" t="s">
        <v>410</v>
      </c>
      <c r="F1153" s="1" t="s">
        <v>58</v>
      </c>
      <c r="G1153" s="1">
        <v>600042</v>
      </c>
      <c r="H1153" s="1">
        <v>0.75</v>
      </c>
    </row>
    <row r="1154" spans="1:8" ht="21.75" customHeight="1">
      <c r="A1154" s="1" t="str">
        <f>"1203600005433546"</f>
        <v>1203600005433546</v>
      </c>
      <c r="B1154" s="1" t="s">
        <v>4350</v>
      </c>
      <c r="C1154" s="1" t="s">
        <v>4351</v>
      </c>
      <c r="D1154" s="1" t="s">
        <v>4352</v>
      </c>
      <c r="E1154" s="1"/>
      <c r="F1154" s="1" t="s">
        <v>58</v>
      </c>
      <c r="G1154" s="1">
        <v>600042</v>
      </c>
      <c r="H1154" s="1">
        <v>262.5</v>
      </c>
    </row>
    <row r="1155" spans="1:8" ht="21.75" customHeight="1">
      <c r="A1155" s="1" t="str">
        <f>"IN30163741833933"</f>
        <v>IN30163741833933</v>
      </c>
      <c r="B1155" s="1" t="s">
        <v>4353</v>
      </c>
      <c r="C1155" s="1" t="s">
        <v>4354</v>
      </c>
      <c r="D1155" s="1" t="s">
        <v>4355</v>
      </c>
      <c r="E1155" s="1" t="s">
        <v>4356</v>
      </c>
      <c r="F1155" s="1"/>
      <c r="G1155" s="1">
        <v>600044</v>
      </c>
      <c r="H1155" s="1">
        <v>3.75</v>
      </c>
    </row>
    <row r="1156" spans="1:8" ht="21.75" customHeight="1">
      <c r="A1156" s="1" t="str">
        <f>"IN30177410678977"</f>
        <v>IN30177410678977</v>
      </c>
      <c r="B1156" s="1" t="s">
        <v>4357</v>
      </c>
      <c r="C1156" s="1" t="s">
        <v>4358</v>
      </c>
      <c r="D1156" s="1" t="s">
        <v>4359</v>
      </c>
      <c r="E1156" s="1" t="s">
        <v>4360</v>
      </c>
      <c r="F1156" s="1"/>
      <c r="G1156" s="1">
        <v>600049</v>
      </c>
      <c r="H1156" s="1">
        <v>611.25</v>
      </c>
    </row>
    <row r="1157" spans="1:8" ht="21.75" customHeight="1">
      <c r="A1157" s="1" t="str">
        <f>"1203320003996964"</f>
        <v>1203320003996964</v>
      </c>
      <c r="B1157" s="1" t="s">
        <v>4361</v>
      </c>
      <c r="C1157" s="1" t="s">
        <v>4362</v>
      </c>
      <c r="D1157" s="1" t="s">
        <v>3705</v>
      </c>
      <c r="E1157" s="1" t="s">
        <v>4363</v>
      </c>
      <c r="F1157" s="1" t="s">
        <v>58</v>
      </c>
      <c r="G1157" s="1">
        <v>600050</v>
      </c>
      <c r="H1157" s="1">
        <v>9</v>
      </c>
    </row>
    <row r="1158" spans="1:8" ht="21.75" customHeight="1">
      <c r="A1158" s="1" t="str">
        <f>"1203820000081067"</f>
        <v>1203820000081067</v>
      </c>
      <c r="B1158" s="1" t="s">
        <v>4364</v>
      </c>
      <c r="C1158" s="1" t="s">
        <v>4365</v>
      </c>
      <c r="D1158" s="1" t="s">
        <v>4366</v>
      </c>
      <c r="E1158" s="1" t="s">
        <v>4367</v>
      </c>
      <c r="F1158" s="1" t="s">
        <v>58</v>
      </c>
      <c r="G1158" s="1">
        <v>600053</v>
      </c>
      <c r="H1158" s="1">
        <v>150</v>
      </c>
    </row>
    <row r="1159" spans="1:8" ht="21.75" customHeight="1">
      <c r="A1159" s="1" t="str">
        <f>"1204470002534571"</f>
        <v>1204470002534571</v>
      </c>
      <c r="B1159" s="1" t="s">
        <v>4368</v>
      </c>
      <c r="C1159" s="1" t="s">
        <v>4369</v>
      </c>
      <c r="D1159" s="1" t="s">
        <v>4370</v>
      </c>
      <c r="E1159" s="1"/>
      <c r="F1159" s="1" t="s">
        <v>58</v>
      </c>
      <c r="G1159" s="1">
        <v>600054</v>
      </c>
      <c r="H1159" s="1">
        <v>11.25</v>
      </c>
    </row>
    <row r="1160" spans="1:8" ht="21.75" customHeight="1">
      <c r="A1160" s="1" t="str">
        <f>"IN30302891200824"</f>
        <v>IN30302891200824</v>
      </c>
      <c r="B1160" s="1" t="s">
        <v>4371</v>
      </c>
      <c r="C1160" s="1" t="s">
        <v>4372</v>
      </c>
      <c r="D1160" s="1" t="s">
        <v>4373</v>
      </c>
      <c r="E1160" s="1" t="s">
        <v>4374</v>
      </c>
      <c r="F1160" s="1"/>
      <c r="G1160" s="1">
        <v>600056</v>
      </c>
      <c r="H1160" s="1">
        <v>1.5</v>
      </c>
    </row>
    <row r="1161" spans="1:8" ht="21.75" customHeight="1">
      <c r="A1161" s="1" t="str">
        <f>"1204920002335885"</f>
        <v>1204920002335885</v>
      </c>
      <c r="B1161" s="1" t="s">
        <v>4375</v>
      </c>
      <c r="C1161" s="1" t="s">
        <v>4376</v>
      </c>
      <c r="D1161" s="1" t="s">
        <v>4377</v>
      </c>
      <c r="E1161" s="1" t="s">
        <v>410</v>
      </c>
      <c r="F1161" s="1" t="s">
        <v>4282</v>
      </c>
      <c r="G1161" s="1">
        <v>600059</v>
      </c>
      <c r="H1161" s="1">
        <v>0.75</v>
      </c>
    </row>
    <row r="1162" spans="1:8" ht="21.75" customHeight="1">
      <c r="A1162" s="1" t="str">
        <f>"1204920002159241"</f>
        <v>1204920002159241</v>
      </c>
      <c r="B1162" s="1" t="s">
        <v>4378</v>
      </c>
      <c r="C1162" s="1" t="s">
        <v>4379</v>
      </c>
      <c r="D1162" s="1" t="s">
        <v>4380</v>
      </c>
      <c r="E1162" s="1"/>
      <c r="F1162" s="1" t="s">
        <v>4291</v>
      </c>
      <c r="G1162" s="1">
        <v>600060</v>
      </c>
      <c r="H1162" s="1">
        <v>0.75</v>
      </c>
    </row>
    <row r="1163" spans="1:8" ht="21.75" customHeight="1">
      <c r="A1163" s="1" t="str">
        <f>"1208180007960751"</f>
        <v>1208180007960751</v>
      </c>
      <c r="B1163" s="1" t="s">
        <v>4381</v>
      </c>
      <c r="C1163" s="1" t="s">
        <v>4382</v>
      </c>
      <c r="D1163" s="1" t="s">
        <v>4383</v>
      </c>
      <c r="E1163" s="1"/>
      <c r="F1163" s="1" t="s">
        <v>58</v>
      </c>
      <c r="G1163" s="1">
        <v>600073</v>
      </c>
      <c r="H1163" s="1">
        <v>0.75</v>
      </c>
    </row>
    <row r="1164" spans="1:8" ht="21.75" customHeight="1">
      <c r="A1164" s="1" t="str">
        <f>"1204920001986795"</f>
        <v>1204920001986795</v>
      </c>
      <c r="B1164" s="1" t="s">
        <v>4384</v>
      </c>
      <c r="C1164" s="1" t="s">
        <v>4385</v>
      </c>
      <c r="D1164" s="1" t="s">
        <v>4386</v>
      </c>
      <c r="E1164" s="1" t="s">
        <v>4387</v>
      </c>
      <c r="F1164" s="1" t="s">
        <v>4282</v>
      </c>
      <c r="G1164" s="1">
        <v>600073</v>
      </c>
      <c r="H1164" s="1">
        <v>9</v>
      </c>
    </row>
    <row r="1165" spans="1:8" ht="21.75" customHeight="1">
      <c r="A1165" s="1" t="str">
        <f>"1204920001981632"</f>
        <v>1204920001981632</v>
      </c>
      <c r="B1165" s="1" t="s">
        <v>4388</v>
      </c>
      <c r="C1165" s="1" t="s">
        <v>4389</v>
      </c>
      <c r="D1165" s="1" t="s">
        <v>4390</v>
      </c>
      <c r="E1165" s="1"/>
      <c r="F1165" s="1" t="s">
        <v>58</v>
      </c>
      <c r="G1165" s="1">
        <v>600078</v>
      </c>
      <c r="H1165" s="1">
        <v>5.25</v>
      </c>
    </row>
    <row r="1166" spans="1:8" ht="21.75" customHeight="1">
      <c r="A1166" s="1" t="str">
        <f>"1201090006445671"</f>
        <v>1201090006445671</v>
      </c>
      <c r="B1166" s="1" t="s">
        <v>4391</v>
      </c>
      <c r="C1166" s="1" t="s">
        <v>4392</v>
      </c>
      <c r="D1166" s="1" t="s">
        <v>4393</v>
      </c>
      <c r="E1166" s="1" t="s">
        <v>387</v>
      </c>
      <c r="F1166" s="1" t="s">
        <v>58</v>
      </c>
      <c r="G1166" s="1">
        <v>600081</v>
      </c>
      <c r="H1166" s="1">
        <v>22.5</v>
      </c>
    </row>
    <row r="1167" spans="1:8" ht="21.75" customHeight="1">
      <c r="A1167" s="1" t="str">
        <f>"1208180001840108"</f>
        <v>1208180001840108</v>
      </c>
      <c r="B1167" s="1" t="s">
        <v>4394</v>
      </c>
      <c r="C1167" s="1" t="s">
        <v>4395</v>
      </c>
      <c r="D1167" s="1" t="s">
        <v>4396</v>
      </c>
      <c r="E1167" s="1" t="s">
        <v>1231</v>
      </c>
      <c r="F1167" s="1" t="s">
        <v>58</v>
      </c>
      <c r="G1167" s="1">
        <v>600082</v>
      </c>
      <c r="H1167" s="1">
        <v>7.5</v>
      </c>
    </row>
    <row r="1168" spans="1:8" ht="21.75" customHeight="1">
      <c r="A1168" s="1" t="str">
        <f>"1203600000222431"</f>
        <v>1203600000222431</v>
      </c>
      <c r="B1168" s="1" t="s">
        <v>4397</v>
      </c>
      <c r="C1168" s="1" t="s">
        <v>4398</v>
      </c>
      <c r="D1168" s="1" t="s">
        <v>4399</v>
      </c>
      <c r="E1168" s="1" t="s">
        <v>4400</v>
      </c>
      <c r="F1168" s="1" t="s">
        <v>58</v>
      </c>
      <c r="G1168" s="1">
        <v>600082</v>
      </c>
      <c r="H1168" s="1">
        <v>2.25</v>
      </c>
    </row>
    <row r="1169" spans="1:8" ht="21.75" customHeight="1">
      <c r="A1169" s="1" t="str">
        <f>"IN30163740193606"</f>
        <v>IN30163740193606</v>
      </c>
      <c r="B1169" s="1" t="s">
        <v>4401</v>
      </c>
      <c r="C1169" s="1" t="s">
        <v>4402</v>
      </c>
      <c r="D1169" s="1" t="s">
        <v>4403</v>
      </c>
      <c r="E1169" s="1" t="s">
        <v>58</v>
      </c>
      <c r="F1169" s="1"/>
      <c r="G1169" s="1">
        <v>600084</v>
      </c>
      <c r="H1169" s="1">
        <v>1207</v>
      </c>
    </row>
    <row r="1170" spans="1:8" ht="21.75" customHeight="1">
      <c r="A1170" s="1" t="str">
        <f>"IN30177410215258"</f>
        <v>IN30177410215258</v>
      </c>
      <c r="B1170" s="1" t="s">
        <v>4404</v>
      </c>
      <c r="C1170" s="1" t="s">
        <v>4405</v>
      </c>
      <c r="D1170" s="1" t="s">
        <v>4406</v>
      </c>
      <c r="E1170" s="1" t="s">
        <v>4407</v>
      </c>
      <c r="F1170" s="1"/>
      <c r="G1170" s="1">
        <v>600086</v>
      </c>
      <c r="H1170" s="1">
        <v>150</v>
      </c>
    </row>
    <row r="1171" spans="1:8" ht="21.75" customHeight="1">
      <c r="A1171" s="1" t="str">
        <f>"IN30429514559563"</f>
        <v>IN30429514559563</v>
      </c>
      <c r="B1171" s="1" t="s">
        <v>4408</v>
      </c>
      <c r="C1171" s="1" t="s">
        <v>4409</v>
      </c>
      <c r="D1171" s="1" t="s">
        <v>4410</v>
      </c>
      <c r="E1171" s="1" t="s">
        <v>58</v>
      </c>
      <c r="F1171" s="1"/>
      <c r="G1171" s="1">
        <v>600088</v>
      </c>
      <c r="H1171" s="1">
        <v>3.75</v>
      </c>
    </row>
    <row r="1172" spans="1:8" ht="21.75" customHeight="1">
      <c r="A1172" s="1" t="str">
        <f>"1208160088846739"</f>
        <v>1208160088846739</v>
      </c>
      <c r="B1172" s="1" t="s">
        <v>4411</v>
      </c>
      <c r="C1172" s="1" t="s">
        <v>4412</v>
      </c>
      <c r="D1172" s="1" t="s">
        <v>4413</v>
      </c>
      <c r="E1172" s="1"/>
      <c r="F1172" s="1" t="s">
        <v>58</v>
      </c>
      <c r="G1172" s="1">
        <v>600089</v>
      </c>
      <c r="H1172" s="1">
        <v>15</v>
      </c>
    </row>
    <row r="1173" spans="1:8" ht="21.75" customHeight="1">
      <c r="A1173" s="1" t="str">
        <f>"1204920002361605"</f>
        <v>1204920002361605</v>
      </c>
      <c r="B1173" s="1" t="s">
        <v>4414</v>
      </c>
      <c r="C1173" s="1" t="s">
        <v>4415</v>
      </c>
      <c r="D1173" s="1" t="s">
        <v>366</v>
      </c>
      <c r="E1173" s="1" t="s">
        <v>410</v>
      </c>
      <c r="F1173" s="1" t="s">
        <v>58</v>
      </c>
      <c r="G1173" s="1">
        <v>600090</v>
      </c>
      <c r="H1173" s="1">
        <v>0.75</v>
      </c>
    </row>
    <row r="1174" spans="1:8" ht="21.75" customHeight="1">
      <c r="A1174" s="1" t="str">
        <f>"1204920002224209"</f>
        <v>1204920002224209</v>
      </c>
      <c r="B1174" s="1" t="s">
        <v>4416</v>
      </c>
      <c r="C1174" s="1" t="s">
        <v>4417</v>
      </c>
      <c r="D1174" s="1" t="s">
        <v>4418</v>
      </c>
      <c r="E1174" s="1" t="s">
        <v>4419</v>
      </c>
      <c r="F1174" s="1" t="s">
        <v>58</v>
      </c>
      <c r="G1174" s="1">
        <v>600092</v>
      </c>
      <c r="H1174" s="1">
        <v>0.75</v>
      </c>
    </row>
    <row r="1175" spans="1:8" ht="21.75" customHeight="1">
      <c r="A1175" s="1" t="str">
        <f>"1204920002330093"</f>
        <v>1204920002330093</v>
      </c>
      <c r="B1175" s="1" t="s">
        <v>4420</v>
      </c>
      <c r="C1175" s="1" t="s">
        <v>4421</v>
      </c>
      <c r="D1175" s="1" t="s">
        <v>4422</v>
      </c>
      <c r="E1175" s="1" t="s">
        <v>410</v>
      </c>
      <c r="F1175" s="1" t="s">
        <v>58</v>
      </c>
      <c r="G1175" s="1">
        <v>600093</v>
      </c>
      <c r="H1175" s="1">
        <v>0.75</v>
      </c>
    </row>
    <row r="1176" spans="1:8" ht="21.75" customHeight="1">
      <c r="A1176" s="1" t="str">
        <f>"1204010000043128"</f>
        <v>1204010000043128</v>
      </c>
      <c r="B1176" s="1" t="s">
        <v>4423</v>
      </c>
      <c r="C1176" s="1" t="s">
        <v>4424</v>
      </c>
      <c r="D1176" s="1" t="s">
        <v>4425</v>
      </c>
      <c r="E1176" s="1" t="s">
        <v>4426</v>
      </c>
      <c r="F1176" s="1" t="s">
        <v>58</v>
      </c>
      <c r="G1176" s="1">
        <v>600093</v>
      </c>
      <c r="H1176" s="1">
        <v>7.5</v>
      </c>
    </row>
    <row r="1177" spans="1:8" ht="21.75" customHeight="1">
      <c r="A1177" s="1" t="str">
        <f>"IN30429516296651"</f>
        <v>IN30429516296651</v>
      </c>
      <c r="B1177" s="1" t="s">
        <v>4427</v>
      </c>
      <c r="C1177" s="1" t="s">
        <v>4428</v>
      </c>
      <c r="D1177" s="1" t="s">
        <v>4429</v>
      </c>
      <c r="E1177" s="1" t="s">
        <v>4430</v>
      </c>
      <c r="F1177" s="1"/>
      <c r="G1177" s="1">
        <v>600095</v>
      </c>
      <c r="H1177" s="1">
        <v>15.75</v>
      </c>
    </row>
    <row r="1178" spans="1:8" ht="21.75" customHeight="1">
      <c r="A1178" s="1" t="str">
        <f>"1204920002453177"</f>
        <v>1204920002453177</v>
      </c>
      <c r="B1178" s="1" t="s">
        <v>4431</v>
      </c>
      <c r="C1178" s="1" t="s">
        <v>4432</v>
      </c>
      <c r="D1178" s="1" t="s">
        <v>4433</v>
      </c>
      <c r="E1178" s="1" t="s">
        <v>4434</v>
      </c>
      <c r="F1178" s="1" t="s">
        <v>4282</v>
      </c>
      <c r="G1178" s="1">
        <v>600097</v>
      </c>
      <c r="H1178" s="1">
        <v>1.5</v>
      </c>
    </row>
    <row r="1179" spans="1:8" ht="21.75" customHeight="1">
      <c r="A1179" s="1" t="str">
        <f>"1204920002525340"</f>
        <v>1204920002525340</v>
      </c>
      <c r="B1179" s="1" t="s">
        <v>4435</v>
      </c>
      <c r="C1179" s="1" t="s">
        <v>4436</v>
      </c>
      <c r="D1179" s="1" t="s">
        <v>4437</v>
      </c>
      <c r="E1179" s="1" t="s">
        <v>410</v>
      </c>
      <c r="F1179" s="1" t="s">
        <v>4282</v>
      </c>
      <c r="G1179" s="1">
        <v>600100</v>
      </c>
      <c r="H1179" s="1">
        <v>0.75</v>
      </c>
    </row>
    <row r="1180" spans="1:8" ht="21.75" customHeight="1">
      <c r="A1180" s="1" t="str">
        <f>"IN30429526470970"</f>
        <v>IN30429526470970</v>
      </c>
      <c r="B1180" s="1" t="s">
        <v>4438</v>
      </c>
      <c r="C1180" s="1" t="s">
        <v>4439</v>
      </c>
      <c r="D1180" s="1" t="s">
        <v>4440</v>
      </c>
      <c r="E1180" s="1" t="s">
        <v>4441</v>
      </c>
      <c r="F1180" s="1"/>
      <c r="G1180" s="1">
        <v>600102</v>
      </c>
      <c r="H1180" s="1">
        <v>0.75</v>
      </c>
    </row>
    <row r="1181" spans="1:8" ht="21.75" customHeight="1">
      <c r="A1181" s="1" t="str">
        <f>"IN30136410004966"</f>
        <v>IN30136410004966</v>
      </c>
      <c r="B1181" s="1" t="s">
        <v>4442</v>
      </c>
      <c r="C1181" s="1" t="s">
        <v>4443</v>
      </c>
      <c r="D1181" s="1" t="s">
        <v>4444</v>
      </c>
      <c r="E1181" s="1" t="s">
        <v>58</v>
      </c>
      <c r="F1181" s="1"/>
      <c r="G1181" s="1">
        <v>600103</v>
      </c>
      <c r="H1181" s="1">
        <v>0.75</v>
      </c>
    </row>
    <row r="1182" spans="1:8" ht="21.75" customHeight="1">
      <c r="A1182" s="1" t="str">
        <f>"1204920001998591"</f>
        <v>1204920001998591</v>
      </c>
      <c r="B1182" s="1" t="s">
        <v>4445</v>
      </c>
      <c r="C1182" s="1" t="s">
        <v>4446</v>
      </c>
      <c r="D1182" s="1" t="s">
        <v>4447</v>
      </c>
      <c r="E1182" s="1" t="s">
        <v>410</v>
      </c>
      <c r="F1182" s="1" t="s">
        <v>4448</v>
      </c>
      <c r="G1182" s="1">
        <v>600109</v>
      </c>
      <c r="H1182" s="1">
        <v>0.75</v>
      </c>
    </row>
    <row r="1183" spans="1:8" ht="21.75" customHeight="1">
      <c r="A1183" s="1" t="str">
        <f>"IN30290245850985"</f>
        <v>IN30290245850985</v>
      </c>
      <c r="B1183" s="1" t="s">
        <v>4449</v>
      </c>
      <c r="C1183" s="1" t="s">
        <v>4450</v>
      </c>
      <c r="D1183" s="1" t="s">
        <v>4451</v>
      </c>
      <c r="E1183" s="1" t="s">
        <v>4452</v>
      </c>
      <c r="F1183" s="1"/>
      <c r="G1183" s="1">
        <v>600114</v>
      </c>
      <c r="H1183" s="1">
        <v>3.75</v>
      </c>
    </row>
    <row r="1184" spans="1:8" ht="21.75" customHeight="1">
      <c r="A1184" s="1" t="str">
        <f>"1204920002046795"</f>
        <v>1204920002046795</v>
      </c>
      <c r="B1184" s="1" t="s">
        <v>4453</v>
      </c>
      <c r="C1184" s="1" t="s">
        <v>4454</v>
      </c>
      <c r="D1184" s="1"/>
      <c r="E1184" s="1" t="s">
        <v>410</v>
      </c>
      <c r="F1184" s="1" t="s">
        <v>4282</v>
      </c>
      <c r="G1184" s="1">
        <v>600116</v>
      </c>
      <c r="H1184" s="1">
        <v>0.75</v>
      </c>
    </row>
    <row r="1185" spans="1:8" ht="21.75" customHeight="1">
      <c r="A1185" s="1" t="str">
        <f>"1204920002082443"</f>
        <v>1204920002082443</v>
      </c>
      <c r="B1185" s="1" t="s">
        <v>4455</v>
      </c>
      <c r="C1185" s="1" t="s">
        <v>4456</v>
      </c>
      <c r="D1185" s="1" t="s">
        <v>4457</v>
      </c>
      <c r="E1185" s="1" t="s">
        <v>410</v>
      </c>
      <c r="F1185" s="1" t="s">
        <v>4282</v>
      </c>
      <c r="G1185" s="1">
        <v>600119</v>
      </c>
      <c r="H1185" s="1">
        <v>0.75</v>
      </c>
    </row>
    <row r="1186" spans="1:8" ht="21.75" customHeight="1">
      <c r="A1186" s="1" t="str">
        <f>"1208160020654220"</f>
        <v>1208160020654220</v>
      </c>
      <c r="B1186" s="1" t="s">
        <v>4458</v>
      </c>
      <c r="C1186" s="1" t="s">
        <v>4459</v>
      </c>
      <c r="D1186" s="1" t="s">
        <v>4460</v>
      </c>
      <c r="E1186" s="1"/>
      <c r="F1186" s="1" t="s">
        <v>58</v>
      </c>
      <c r="G1186" s="1">
        <v>600120</v>
      </c>
      <c r="H1186" s="1">
        <v>6.75</v>
      </c>
    </row>
    <row r="1187" spans="1:8" ht="21.75" customHeight="1">
      <c r="A1187" s="1" t="str">
        <f>"1208160021400444"</f>
        <v>1208160021400444</v>
      </c>
      <c r="B1187" s="1" t="s">
        <v>4461</v>
      </c>
      <c r="C1187" s="1" t="s">
        <v>4462</v>
      </c>
      <c r="D1187" s="1" t="s">
        <v>4463</v>
      </c>
      <c r="E1187" s="1" t="s">
        <v>4464</v>
      </c>
      <c r="F1187" s="1" t="s">
        <v>58</v>
      </c>
      <c r="G1187" s="1">
        <v>600122</v>
      </c>
      <c r="H1187" s="1">
        <v>22.5</v>
      </c>
    </row>
    <row r="1188" spans="1:8" ht="21.75" customHeight="1">
      <c r="A1188" s="1" t="str">
        <f>"IN30429517668820"</f>
        <v>IN30429517668820</v>
      </c>
      <c r="B1188" s="1" t="s">
        <v>4465</v>
      </c>
      <c r="C1188" s="1" t="s">
        <v>4466</v>
      </c>
      <c r="D1188" s="1" t="s">
        <v>4467</v>
      </c>
      <c r="E1188" s="1" t="s">
        <v>4430</v>
      </c>
      <c r="F1188" s="1"/>
      <c r="G1188" s="1">
        <v>601201</v>
      </c>
      <c r="H1188" s="1">
        <v>3.75</v>
      </c>
    </row>
    <row r="1189" spans="1:8" ht="21.75" customHeight="1">
      <c r="A1189" s="1" t="str">
        <f>"1208160011997530"</f>
        <v>1208160011997530</v>
      </c>
      <c r="B1189" s="1" t="s">
        <v>4468</v>
      </c>
      <c r="C1189" s="1" t="s">
        <v>4469</v>
      </c>
      <c r="D1189" s="1"/>
      <c r="E1189" s="1"/>
      <c r="F1189" s="1" t="s">
        <v>4291</v>
      </c>
      <c r="G1189" s="1">
        <v>601201</v>
      </c>
      <c r="H1189" s="1">
        <v>7.5</v>
      </c>
    </row>
    <row r="1190" spans="1:8" ht="21.75" customHeight="1">
      <c r="A1190" s="1" t="str">
        <f>"1204920002485530"</f>
        <v>1204920002485530</v>
      </c>
      <c r="B1190" s="1" t="s">
        <v>4470</v>
      </c>
      <c r="C1190" s="1" t="s">
        <v>4471</v>
      </c>
      <c r="D1190" s="1" t="s">
        <v>4472</v>
      </c>
      <c r="E1190" s="1" t="s">
        <v>410</v>
      </c>
      <c r="F1190" s="1" t="s">
        <v>4291</v>
      </c>
      <c r="G1190" s="1">
        <v>601204</v>
      </c>
      <c r="H1190" s="1">
        <v>0.75</v>
      </c>
    </row>
    <row r="1191" spans="1:8" ht="21.75" customHeight="1">
      <c r="A1191" s="1" t="str">
        <f>"IN30389210031978"</f>
        <v>IN30389210031978</v>
      </c>
      <c r="B1191" s="1" t="s">
        <v>4473</v>
      </c>
      <c r="C1191" s="1" t="s">
        <v>4474</v>
      </c>
      <c r="D1191" s="1" t="s">
        <v>4475</v>
      </c>
      <c r="E1191" s="1" t="s">
        <v>4476</v>
      </c>
      <c r="F1191" s="1"/>
      <c r="G1191" s="1">
        <v>601206</v>
      </c>
      <c r="H1191" s="1">
        <v>75</v>
      </c>
    </row>
    <row r="1192" spans="1:8" ht="21.75" customHeight="1">
      <c r="A1192" s="1" t="str">
        <f>"1204920002360688"</f>
        <v>1204920002360688</v>
      </c>
      <c r="B1192" s="1" t="s">
        <v>4477</v>
      </c>
      <c r="C1192" s="1" t="s">
        <v>4478</v>
      </c>
      <c r="D1192" s="1" t="s">
        <v>4291</v>
      </c>
      <c r="E1192" s="1" t="s">
        <v>4479</v>
      </c>
      <c r="F1192" s="1" t="s">
        <v>4291</v>
      </c>
      <c r="G1192" s="1">
        <v>602001</v>
      </c>
      <c r="H1192" s="1">
        <v>0.75</v>
      </c>
    </row>
    <row r="1193" spans="1:8" ht="21.75" customHeight="1">
      <c r="A1193" s="1" t="str">
        <f>"1208180009532366"</f>
        <v>1208180009532366</v>
      </c>
      <c r="B1193" s="1" t="s">
        <v>4480</v>
      </c>
      <c r="C1193" s="1" t="s">
        <v>4481</v>
      </c>
      <c r="D1193" s="1" t="s">
        <v>4482</v>
      </c>
      <c r="E1193" s="1"/>
      <c r="F1193" s="1" t="s">
        <v>4282</v>
      </c>
      <c r="G1193" s="1">
        <v>603103</v>
      </c>
      <c r="H1193" s="1">
        <v>22.5</v>
      </c>
    </row>
    <row r="1194" spans="1:8" ht="21.75" customHeight="1">
      <c r="A1194" s="1" t="str">
        <f>"IN30429514328665"</f>
        <v>IN30429514328665</v>
      </c>
      <c r="B1194" s="1" t="s">
        <v>4483</v>
      </c>
      <c r="C1194" s="1" t="s">
        <v>4484</v>
      </c>
      <c r="D1194" s="1" t="s">
        <v>4485</v>
      </c>
      <c r="E1194" s="1" t="s">
        <v>4486</v>
      </c>
      <c r="F1194" s="1"/>
      <c r="G1194" s="1">
        <v>603202</v>
      </c>
      <c r="H1194" s="1">
        <v>0.75</v>
      </c>
    </row>
    <row r="1195" spans="1:8" ht="21.75" customHeight="1">
      <c r="A1195" s="1" t="str">
        <f>"IN30163760061340"</f>
        <v>IN30163760061340</v>
      </c>
      <c r="B1195" s="1" t="s">
        <v>4487</v>
      </c>
      <c r="C1195" s="1" t="s">
        <v>4488</v>
      </c>
      <c r="D1195" s="1" t="s">
        <v>4489</v>
      </c>
      <c r="E1195" s="1" t="s">
        <v>4490</v>
      </c>
      <c r="F1195" s="1"/>
      <c r="G1195" s="1">
        <v>603202</v>
      </c>
      <c r="H1195" s="1">
        <v>2.25</v>
      </c>
    </row>
    <row r="1196" spans="1:8" ht="21.75" customHeight="1">
      <c r="A1196" s="1" t="str">
        <f>"1204920002060307"</f>
        <v>1204920002060307</v>
      </c>
      <c r="B1196" s="1" t="s">
        <v>4491</v>
      </c>
      <c r="C1196" s="1" t="s">
        <v>4492</v>
      </c>
      <c r="D1196" s="1" t="s">
        <v>4493</v>
      </c>
      <c r="E1196" s="1" t="s">
        <v>380</v>
      </c>
      <c r="F1196" s="1" t="s">
        <v>4282</v>
      </c>
      <c r="G1196" s="1">
        <v>603209</v>
      </c>
      <c r="H1196" s="1">
        <v>9</v>
      </c>
    </row>
    <row r="1197" spans="1:8" ht="21.75" customHeight="1">
      <c r="A1197" s="1" t="str">
        <f>"1204920002275370"</f>
        <v>1204920002275370</v>
      </c>
      <c r="B1197" s="1" t="s">
        <v>4494</v>
      </c>
      <c r="C1197" s="1" t="s">
        <v>4495</v>
      </c>
      <c r="D1197" s="1" t="s">
        <v>4496</v>
      </c>
      <c r="E1197" s="1" t="s">
        <v>4497</v>
      </c>
      <c r="F1197" s="1" t="s">
        <v>4282</v>
      </c>
      <c r="G1197" s="1">
        <v>603209</v>
      </c>
      <c r="H1197" s="1">
        <v>6</v>
      </c>
    </row>
    <row r="1198" spans="1:8" ht="21.75" customHeight="1">
      <c r="A1198" s="1" t="str">
        <f>"1204450000542385"</f>
        <v>1204450000542385</v>
      </c>
      <c r="B1198" s="1" t="s">
        <v>4498</v>
      </c>
      <c r="C1198" s="1" t="s">
        <v>4499</v>
      </c>
      <c r="D1198" s="1" t="s">
        <v>4500</v>
      </c>
      <c r="E1198" s="1" t="s">
        <v>410</v>
      </c>
      <c r="F1198" s="1" t="s">
        <v>4500</v>
      </c>
      <c r="G1198" s="1">
        <v>604001</v>
      </c>
      <c r="H1198" s="1">
        <v>675</v>
      </c>
    </row>
    <row r="1199" spans="1:8" ht="21.75" customHeight="1">
      <c r="A1199" s="1" t="str">
        <f>"1208160015010418"</f>
        <v>1208160015010418</v>
      </c>
      <c r="B1199" s="1" t="s">
        <v>4501</v>
      </c>
      <c r="C1199" s="1" t="s">
        <v>4502</v>
      </c>
      <c r="D1199" s="1" t="s">
        <v>4503</v>
      </c>
      <c r="E1199" s="1" t="s">
        <v>4504</v>
      </c>
      <c r="F1199" s="1" t="s">
        <v>4505</v>
      </c>
      <c r="G1199" s="1">
        <v>604207</v>
      </c>
      <c r="H1199" s="1">
        <v>0.75</v>
      </c>
    </row>
    <row r="1200" spans="1:8" ht="21.75" customHeight="1">
      <c r="A1200" s="1" t="str">
        <f>"1204920006099778"</f>
        <v>1204920006099778</v>
      </c>
      <c r="B1200" s="1" t="s">
        <v>4507</v>
      </c>
      <c r="C1200" s="1" t="s">
        <v>4508</v>
      </c>
      <c r="D1200" s="1" t="s">
        <v>4509</v>
      </c>
      <c r="E1200" s="1" t="s">
        <v>4510</v>
      </c>
      <c r="F1200" s="1" t="s">
        <v>4506</v>
      </c>
      <c r="G1200" s="1">
        <v>605003</v>
      </c>
      <c r="H1200" s="1">
        <v>0.75</v>
      </c>
    </row>
    <row r="1201" spans="1:8" ht="21.75" customHeight="1">
      <c r="A1201" s="1" t="str">
        <f>"IN30177417219760"</f>
        <v>IN30177417219760</v>
      </c>
      <c r="B1201" s="1" t="s">
        <v>4511</v>
      </c>
      <c r="C1201" s="1" t="s">
        <v>4512</v>
      </c>
      <c r="D1201" s="1" t="s">
        <v>4513</v>
      </c>
      <c r="E1201" s="1" t="s">
        <v>4514</v>
      </c>
      <c r="F1201" s="1"/>
      <c r="G1201" s="1">
        <v>605007</v>
      </c>
      <c r="H1201" s="1">
        <v>30</v>
      </c>
    </row>
    <row r="1202" spans="1:8" ht="21.75" customHeight="1">
      <c r="A1202" s="1" t="str">
        <f>"1204920006097293"</f>
        <v>1204920006097293</v>
      </c>
      <c r="B1202" s="1" t="s">
        <v>4515</v>
      </c>
      <c r="C1202" s="1" t="s">
        <v>4516</v>
      </c>
      <c r="D1202" s="1" t="s">
        <v>4517</v>
      </c>
      <c r="E1202" s="1" t="s">
        <v>410</v>
      </c>
      <c r="F1202" s="1" t="s">
        <v>4506</v>
      </c>
      <c r="G1202" s="1">
        <v>605008</v>
      </c>
      <c r="H1202" s="1">
        <v>0.75</v>
      </c>
    </row>
    <row r="1203" spans="1:8" ht="21.75" customHeight="1">
      <c r="A1203" s="1" t="str">
        <f>"IN30021426873942"</f>
        <v>IN30021426873942</v>
      </c>
      <c r="B1203" s="1" t="s">
        <v>4518</v>
      </c>
      <c r="C1203" s="1" t="s">
        <v>4519</v>
      </c>
      <c r="D1203" s="1" t="s">
        <v>4520</v>
      </c>
      <c r="E1203" s="1" t="s">
        <v>4521</v>
      </c>
      <c r="F1203" s="1"/>
      <c r="G1203" s="1">
        <v>605105</v>
      </c>
      <c r="H1203" s="1">
        <v>75</v>
      </c>
    </row>
    <row r="1204" spans="1:8" ht="21.75" customHeight="1">
      <c r="A1204" s="1" t="str">
        <f>"IN30429514811824"</f>
        <v>IN30429514811824</v>
      </c>
      <c r="B1204" s="1" t="s">
        <v>4522</v>
      </c>
      <c r="C1204" s="1" t="s">
        <v>4523</v>
      </c>
      <c r="D1204" s="1" t="s">
        <v>4524</v>
      </c>
      <c r="E1204" s="1" t="s">
        <v>955</v>
      </c>
      <c r="F1204" s="1"/>
      <c r="G1204" s="1">
        <v>605111</v>
      </c>
      <c r="H1204" s="1">
        <v>0.75</v>
      </c>
    </row>
    <row r="1205" spans="1:8" ht="21.75" customHeight="1">
      <c r="A1205" s="1" t="str">
        <f>"1208160004067623"</f>
        <v>1208160004067623</v>
      </c>
      <c r="B1205" s="1" t="s">
        <v>4525</v>
      </c>
      <c r="C1205" s="1" t="s">
        <v>4526</v>
      </c>
      <c r="D1205" s="1" t="s">
        <v>4527</v>
      </c>
      <c r="E1205" s="1" t="s">
        <v>955</v>
      </c>
      <c r="F1205" s="1" t="s">
        <v>955</v>
      </c>
      <c r="G1205" s="1">
        <v>605602</v>
      </c>
      <c r="H1205" s="1">
        <v>1.5</v>
      </c>
    </row>
    <row r="1206" spans="1:8" ht="21.75" customHeight="1">
      <c r="A1206" s="1" t="str">
        <f>"1208160077864245"</f>
        <v>1208160077864245</v>
      </c>
      <c r="B1206" s="1" t="s">
        <v>4528</v>
      </c>
      <c r="C1206" s="1" t="s">
        <v>4529</v>
      </c>
      <c r="D1206" s="1" t="s">
        <v>4530</v>
      </c>
      <c r="E1206" s="1"/>
      <c r="F1206" s="1" t="s">
        <v>955</v>
      </c>
      <c r="G1206" s="1">
        <v>605757</v>
      </c>
      <c r="H1206" s="1">
        <v>30</v>
      </c>
    </row>
    <row r="1207" spans="1:8" ht="21.75" customHeight="1">
      <c r="A1207" s="1" t="str">
        <f>"1204920002430208"</f>
        <v>1204920002430208</v>
      </c>
      <c r="B1207" s="1" t="s">
        <v>4531</v>
      </c>
      <c r="C1207" s="1" t="s">
        <v>4532</v>
      </c>
      <c r="D1207" s="1" t="s">
        <v>4533</v>
      </c>
      <c r="E1207" s="1" t="s">
        <v>4534</v>
      </c>
      <c r="F1207" s="1" t="s">
        <v>4505</v>
      </c>
      <c r="G1207" s="1">
        <v>606107</v>
      </c>
      <c r="H1207" s="1">
        <v>0.75</v>
      </c>
    </row>
    <row r="1208" spans="1:8" ht="21.75" customHeight="1">
      <c r="A1208" s="1" t="str">
        <f>"1208870000074720"</f>
        <v>1208870000074720</v>
      </c>
      <c r="B1208" s="1" t="s">
        <v>4536</v>
      </c>
      <c r="C1208" s="1" t="s">
        <v>4537</v>
      </c>
      <c r="D1208" s="1" t="s">
        <v>4538</v>
      </c>
      <c r="E1208" s="1" t="s">
        <v>4539</v>
      </c>
      <c r="F1208" s="1" t="s">
        <v>4535</v>
      </c>
      <c r="G1208" s="1">
        <v>606601</v>
      </c>
      <c r="H1208" s="1">
        <v>3.75</v>
      </c>
    </row>
    <row r="1209" spans="1:8" ht="21.75" customHeight="1">
      <c r="A1209" s="1" t="str">
        <f>"IN30017510710363"</f>
        <v>IN30017510710363</v>
      </c>
      <c r="B1209" s="1" t="s">
        <v>4540</v>
      </c>
      <c r="C1209" s="1" t="s">
        <v>4541</v>
      </c>
      <c r="D1209" s="1" t="s">
        <v>4542</v>
      </c>
      <c r="E1209" s="1" t="s">
        <v>4543</v>
      </c>
      <c r="F1209" s="1"/>
      <c r="G1209" s="1">
        <v>607002</v>
      </c>
      <c r="H1209" s="1">
        <v>67</v>
      </c>
    </row>
    <row r="1210" spans="1:8" ht="21.75" customHeight="1">
      <c r="A1210" s="1" t="str">
        <f>"1204920002359182"</f>
        <v>1204920002359182</v>
      </c>
      <c r="B1210" s="1" t="s">
        <v>4545</v>
      </c>
      <c r="C1210" s="1" t="s">
        <v>4546</v>
      </c>
      <c r="D1210" s="1" t="s">
        <v>4547</v>
      </c>
      <c r="E1210" s="1" t="s">
        <v>410</v>
      </c>
      <c r="F1210" s="1" t="s">
        <v>4544</v>
      </c>
      <c r="G1210" s="1">
        <v>607112</v>
      </c>
      <c r="H1210" s="1">
        <v>0.75</v>
      </c>
    </row>
    <row r="1211" spans="1:8" ht="21.75" customHeight="1">
      <c r="A1211" s="1" t="str">
        <f>"1204920002219788"</f>
        <v>1204920002219788</v>
      </c>
      <c r="B1211" s="1" t="s">
        <v>4548</v>
      </c>
      <c r="C1211" s="1" t="s">
        <v>4549</v>
      </c>
      <c r="D1211" s="1" t="s">
        <v>4550</v>
      </c>
      <c r="E1211" s="1" t="s">
        <v>4551</v>
      </c>
      <c r="F1211" s="1" t="s">
        <v>4544</v>
      </c>
      <c r="G1211" s="1">
        <v>608001</v>
      </c>
      <c r="H1211" s="1">
        <v>0.75</v>
      </c>
    </row>
    <row r="1212" spans="1:8" ht="21.75" customHeight="1">
      <c r="A1212" s="1" t="str">
        <f>"1208160030365631"</f>
        <v>1208160030365631</v>
      </c>
      <c r="B1212" s="1" t="s">
        <v>4553</v>
      </c>
      <c r="C1212" s="1" t="s">
        <v>4554</v>
      </c>
      <c r="D1212" s="1" t="s">
        <v>4555</v>
      </c>
      <c r="E1212" s="1"/>
      <c r="F1212" s="1" t="s">
        <v>4544</v>
      </c>
      <c r="G1212" s="1">
        <v>608002</v>
      </c>
      <c r="H1212" s="1">
        <v>160.5</v>
      </c>
    </row>
    <row r="1213" spans="1:8" ht="21.75" customHeight="1">
      <c r="A1213" s="1" t="str">
        <f>"IN30131320560404"</f>
        <v>IN30131320560404</v>
      </c>
      <c r="B1213" s="1" t="s">
        <v>4556</v>
      </c>
      <c r="C1213" s="1" t="s">
        <v>4557</v>
      </c>
      <c r="D1213" s="1" t="s">
        <v>4558</v>
      </c>
      <c r="E1213" s="1" t="s">
        <v>4559</v>
      </c>
      <c r="F1213" s="1"/>
      <c r="G1213" s="1">
        <v>609003</v>
      </c>
      <c r="H1213" s="1">
        <v>2.25</v>
      </c>
    </row>
    <row r="1214" spans="1:8" ht="21.75" customHeight="1">
      <c r="A1214" s="1" t="str">
        <f>"IN30017510324443"</f>
        <v>IN30017510324443</v>
      </c>
      <c r="B1214" s="1" t="s">
        <v>4560</v>
      </c>
      <c r="C1214" s="1" t="s">
        <v>4561</v>
      </c>
      <c r="D1214" s="1" t="s">
        <v>4562</v>
      </c>
      <c r="E1214" s="1" t="s">
        <v>4563</v>
      </c>
      <c r="F1214" s="1"/>
      <c r="G1214" s="1">
        <v>609602</v>
      </c>
      <c r="H1214" s="1">
        <v>7.5</v>
      </c>
    </row>
    <row r="1215" spans="1:8" ht="21.75" customHeight="1">
      <c r="A1215" s="1" t="str">
        <f>"1204920006089630"</f>
        <v>1204920006089630</v>
      </c>
      <c r="B1215" s="1" t="s">
        <v>4565</v>
      </c>
      <c r="C1215" s="1" t="s">
        <v>4566</v>
      </c>
      <c r="D1215" s="1" t="s">
        <v>4563</v>
      </c>
      <c r="E1215" s="1" t="s">
        <v>4566</v>
      </c>
      <c r="F1215" s="1" t="s">
        <v>4563</v>
      </c>
      <c r="G1215" s="1">
        <v>609605</v>
      </c>
      <c r="H1215" s="1">
        <v>1.5</v>
      </c>
    </row>
    <row r="1216" spans="1:8" ht="21.75" customHeight="1">
      <c r="A1216" s="1" t="str">
        <f>"IN30429518913093"</f>
        <v>IN30429518913093</v>
      </c>
      <c r="B1216" s="1" t="s">
        <v>4567</v>
      </c>
      <c r="C1216" s="1" t="s">
        <v>4568</v>
      </c>
      <c r="D1216" s="1" t="s">
        <v>4569</v>
      </c>
      <c r="E1216" s="1" t="s">
        <v>4570</v>
      </c>
      <c r="F1216" s="1"/>
      <c r="G1216" s="1">
        <v>610001</v>
      </c>
      <c r="H1216" s="1">
        <v>75</v>
      </c>
    </row>
    <row r="1217" spans="1:8" ht="21.75" customHeight="1">
      <c r="A1217" s="1" t="str">
        <f>"1208870057875339"</f>
        <v>1208870057875339</v>
      </c>
      <c r="B1217" s="1" t="s">
        <v>4571</v>
      </c>
      <c r="C1217" s="1" t="s">
        <v>4572</v>
      </c>
      <c r="D1217" s="1" t="s">
        <v>4573</v>
      </c>
      <c r="E1217" s="1" t="s">
        <v>4574</v>
      </c>
      <c r="F1217" s="1" t="s">
        <v>4564</v>
      </c>
      <c r="G1217" s="1">
        <v>611108</v>
      </c>
      <c r="H1217" s="1">
        <v>0.75</v>
      </c>
    </row>
    <row r="1218" spans="1:8" ht="21.75" customHeight="1">
      <c r="A1218" s="1" t="str">
        <f>"1204920002152696"</f>
        <v>1204920002152696</v>
      </c>
      <c r="B1218" s="1" t="s">
        <v>4576</v>
      </c>
      <c r="C1218" s="1" t="s">
        <v>4577</v>
      </c>
      <c r="D1218" s="1" t="s">
        <v>4578</v>
      </c>
      <c r="E1218" s="1"/>
      <c r="F1218" s="1" t="s">
        <v>4575</v>
      </c>
      <c r="G1218" s="1">
        <v>614018</v>
      </c>
      <c r="H1218" s="1">
        <v>0.75</v>
      </c>
    </row>
    <row r="1219" spans="1:8" ht="21.75" customHeight="1">
      <c r="A1219" s="1" t="str">
        <f>"IN30429526381375"</f>
        <v>IN30429526381375</v>
      </c>
      <c r="B1219" s="1" t="s">
        <v>4579</v>
      </c>
      <c r="C1219" s="1" t="s">
        <v>4580</v>
      </c>
      <c r="D1219" s="1" t="s">
        <v>4581</v>
      </c>
      <c r="E1219" s="1" t="s">
        <v>4582</v>
      </c>
      <c r="F1219" s="1"/>
      <c r="G1219" s="1">
        <v>614624</v>
      </c>
      <c r="H1219" s="1">
        <v>1.5</v>
      </c>
    </row>
    <row r="1220" spans="1:8" ht="21.75" customHeight="1">
      <c r="A1220" s="1" t="str">
        <f>"IN30429523920693"</f>
        <v>IN30429523920693</v>
      </c>
      <c r="B1220" s="1" t="s">
        <v>4583</v>
      </c>
      <c r="C1220" s="1" t="s">
        <v>4584</v>
      </c>
      <c r="D1220" s="1" t="s">
        <v>4585</v>
      </c>
      <c r="E1220" s="1" t="s">
        <v>4586</v>
      </c>
      <c r="F1220" s="1"/>
      <c r="G1220" s="1">
        <v>614628</v>
      </c>
      <c r="H1220" s="1">
        <v>11.25</v>
      </c>
    </row>
    <row r="1221" spans="1:8" ht="21.75" customHeight="1">
      <c r="A1221" s="1" t="str">
        <f>"IN30177420335414"</f>
        <v>IN30177420335414</v>
      </c>
      <c r="B1221" s="1" t="s">
        <v>4587</v>
      </c>
      <c r="C1221" s="1" t="s">
        <v>4588</v>
      </c>
      <c r="D1221" s="1" t="s">
        <v>4589</v>
      </c>
      <c r="E1221" s="1" t="s">
        <v>4590</v>
      </c>
      <c r="F1221" s="1"/>
      <c r="G1221" s="1">
        <v>614738</v>
      </c>
      <c r="H1221" s="1">
        <v>37.5</v>
      </c>
    </row>
    <row r="1222" spans="1:8" ht="21.75" customHeight="1">
      <c r="A1222" s="1" t="str">
        <f>"1208180001648008"</f>
        <v>1208180001648008</v>
      </c>
      <c r="B1222" s="1" t="s">
        <v>4592</v>
      </c>
      <c r="C1222" s="1" t="s">
        <v>4593</v>
      </c>
      <c r="D1222" s="1" t="s">
        <v>4594</v>
      </c>
      <c r="E1222" s="1"/>
      <c r="F1222" s="1" t="s">
        <v>4591</v>
      </c>
      <c r="G1222" s="1">
        <v>614901</v>
      </c>
      <c r="H1222" s="1">
        <v>26.25</v>
      </c>
    </row>
    <row r="1223" spans="1:8" ht="21.75" customHeight="1">
      <c r="A1223" s="1" t="str">
        <f>"IN30037810312491"</f>
        <v>IN30037810312491</v>
      </c>
      <c r="B1223" s="1" t="s">
        <v>4595</v>
      </c>
      <c r="C1223" s="1" t="s">
        <v>4596</v>
      </c>
      <c r="D1223" s="1" t="s">
        <v>4597</v>
      </c>
      <c r="E1223" s="1" t="s">
        <v>4598</v>
      </c>
      <c r="F1223" s="1"/>
      <c r="G1223" s="1">
        <v>620002</v>
      </c>
      <c r="H1223" s="1">
        <v>7.5</v>
      </c>
    </row>
    <row r="1224" spans="1:8" ht="21.75" customHeight="1">
      <c r="A1224" s="1" t="str">
        <f>"IN30429525966030"</f>
        <v>IN30429525966030</v>
      </c>
      <c r="B1224" s="1" t="s">
        <v>4599</v>
      </c>
      <c r="C1224" s="1" t="s">
        <v>4600</v>
      </c>
      <c r="D1224" s="1" t="s">
        <v>4601</v>
      </c>
      <c r="E1224" s="1" t="s">
        <v>4602</v>
      </c>
      <c r="F1224" s="1"/>
      <c r="G1224" s="1">
        <v>620006</v>
      </c>
      <c r="H1224" s="1">
        <v>7.5</v>
      </c>
    </row>
    <row r="1225" spans="1:8" ht="21.75" customHeight="1">
      <c r="A1225" s="1" t="str">
        <f>"1208160070021300"</f>
        <v>1208160070021300</v>
      </c>
      <c r="B1225" s="1" t="s">
        <v>4603</v>
      </c>
      <c r="C1225" s="1" t="s">
        <v>4604</v>
      </c>
      <c r="D1225" s="1" t="s">
        <v>4605</v>
      </c>
      <c r="E1225" s="1"/>
      <c r="F1225" s="1" t="s">
        <v>396</v>
      </c>
      <c r="G1225" s="1">
        <v>620012</v>
      </c>
      <c r="H1225" s="1">
        <v>3.75</v>
      </c>
    </row>
    <row r="1226" spans="1:8" ht="21.75" customHeight="1">
      <c r="A1226" s="1" t="str">
        <f>"1204920002372482"</f>
        <v>1204920002372482</v>
      </c>
      <c r="B1226" s="1" t="s">
        <v>4606</v>
      </c>
      <c r="C1226" s="1" t="s">
        <v>4607</v>
      </c>
      <c r="D1226" s="1" t="s">
        <v>4608</v>
      </c>
      <c r="E1226" s="1" t="s">
        <v>410</v>
      </c>
      <c r="F1226" s="1" t="s">
        <v>396</v>
      </c>
      <c r="G1226" s="1">
        <v>620015</v>
      </c>
      <c r="H1226" s="1">
        <v>0.75</v>
      </c>
    </row>
    <row r="1227" spans="1:8" ht="21.75" customHeight="1">
      <c r="A1227" s="1" t="str">
        <f>"IN30429526520755"</f>
        <v>IN30429526520755</v>
      </c>
      <c r="B1227" s="1" t="s">
        <v>4609</v>
      </c>
      <c r="C1227" s="1" t="s">
        <v>4610</v>
      </c>
      <c r="D1227" s="1" t="s">
        <v>4611</v>
      </c>
      <c r="E1227" s="1" t="s">
        <v>4612</v>
      </c>
      <c r="F1227" s="1"/>
      <c r="G1227" s="1">
        <v>620019</v>
      </c>
      <c r="H1227" s="1">
        <v>7.5</v>
      </c>
    </row>
    <row r="1228" spans="1:8" ht="21.75" customHeight="1">
      <c r="A1228" s="1" t="str">
        <f>"1208870036390339"</f>
        <v>1208870036390339</v>
      </c>
      <c r="B1228" s="1" t="s">
        <v>4613</v>
      </c>
      <c r="C1228" s="1" t="s">
        <v>4614</v>
      </c>
      <c r="D1228" s="1" t="s">
        <v>4615</v>
      </c>
      <c r="E1228" s="1" t="s">
        <v>410</v>
      </c>
      <c r="F1228" s="1" t="s">
        <v>396</v>
      </c>
      <c r="G1228" s="1">
        <v>620021</v>
      </c>
      <c r="H1228" s="1">
        <v>3.75</v>
      </c>
    </row>
    <row r="1229" spans="1:8" ht="21.75" customHeight="1">
      <c r="A1229" s="1" t="str">
        <f>"1208530000819189"</f>
        <v>1208530000819189</v>
      </c>
      <c r="B1229" s="1" t="s">
        <v>4616</v>
      </c>
      <c r="C1229" s="1" t="s">
        <v>4617</v>
      </c>
      <c r="D1229" s="1" t="s">
        <v>4618</v>
      </c>
      <c r="E1229" s="1" t="s">
        <v>4619</v>
      </c>
      <c r="F1229" s="1" t="s">
        <v>396</v>
      </c>
      <c r="G1229" s="1">
        <v>621010</v>
      </c>
      <c r="H1229" s="1">
        <v>22.5</v>
      </c>
    </row>
    <row r="1230" spans="1:8" ht="21.75" customHeight="1">
      <c r="A1230" s="1" t="str">
        <f>"1208160034284909"</f>
        <v>1208160034284909</v>
      </c>
      <c r="B1230" s="1" t="s">
        <v>4620</v>
      </c>
      <c r="C1230" s="1" t="s">
        <v>4621</v>
      </c>
      <c r="D1230" s="1" t="s">
        <v>4622</v>
      </c>
      <c r="E1230" s="1"/>
      <c r="F1230" s="1" t="s">
        <v>396</v>
      </c>
      <c r="G1230" s="1">
        <v>621203</v>
      </c>
      <c r="H1230" s="1">
        <v>6.75</v>
      </c>
    </row>
    <row r="1231" spans="1:8" ht="21.75" customHeight="1">
      <c r="A1231" s="1" t="str">
        <f>"1208160090617996"</f>
        <v>1208160090617996</v>
      </c>
      <c r="B1231" s="1" t="s">
        <v>4623</v>
      </c>
      <c r="C1231" s="1" t="s">
        <v>4624</v>
      </c>
      <c r="D1231" s="1"/>
      <c r="E1231" s="1"/>
      <c r="F1231" s="1" t="s">
        <v>396</v>
      </c>
      <c r="G1231" s="1">
        <v>621203</v>
      </c>
      <c r="H1231" s="1">
        <v>1.5</v>
      </c>
    </row>
    <row r="1232" spans="1:8" ht="21.75" customHeight="1">
      <c r="A1232" s="1" t="str">
        <f>"IN30311613069257"</f>
        <v>IN30311613069257</v>
      </c>
      <c r="B1232" s="1" t="s">
        <v>4626</v>
      </c>
      <c r="C1232" s="1" t="s">
        <v>4627</v>
      </c>
      <c r="D1232" s="1"/>
      <c r="E1232" s="1" t="s">
        <v>4628</v>
      </c>
      <c r="F1232" s="1"/>
      <c r="G1232" s="1">
        <v>621212</v>
      </c>
      <c r="H1232" s="1">
        <v>11.25</v>
      </c>
    </row>
    <row r="1233" spans="1:8" ht="21.75" customHeight="1">
      <c r="A1233" s="1" t="str">
        <f>"1208160091173522"</f>
        <v>1208160091173522</v>
      </c>
      <c r="B1233" s="1" t="s">
        <v>4629</v>
      </c>
      <c r="C1233" s="1" t="s">
        <v>4630</v>
      </c>
      <c r="D1233" s="1" t="s">
        <v>4631</v>
      </c>
      <c r="E1233" s="1"/>
      <c r="F1233" s="1" t="s">
        <v>417</v>
      </c>
      <c r="G1233" s="1">
        <v>621215</v>
      </c>
      <c r="H1233" s="1">
        <v>7.5</v>
      </c>
    </row>
    <row r="1234" spans="1:8" ht="21.75" customHeight="1">
      <c r="A1234" s="1" t="str">
        <f>"1208870004059712"</f>
        <v>1208870004059712</v>
      </c>
      <c r="B1234" s="1" t="s">
        <v>4632</v>
      </c>
      <c r="C1234" s="1" t="s">
        <v>4633</v>
      </c>
      <c r="D1234" s="1" t="s">
        <v>4634</v>
      </c>
      <c r="E1234" s="1" t="s">
        <v>4634</v>
      </c>
      <c r="F1234" s="1" t="s">
        <v>396</v>
      </c>
      <c r="G1234" s="1">
        <v>621651</v>
      </c>
      <c r="H1234" s="1">
        <v>4.5</v>
      </c>
    </row>
    <row r="1235" spans="1:8" ht="21.75" customHeight="1">
      <c r="A1235" s="1" t="str">
        <f>"1208870067854446"</f>
        <v>1208870067854446</v>
      </c>
      <c r="B1235" s="1" t="s">
        <v>4636</v>
      </c>
      <c r="C1235" s="1" t="s">
        <v>4637</v>
      </c>
      <c r="D1235" s="1" t="s">
        <v>4638</v>
      </c>
      <c r="E1235" s="1" t="s">
        <v>410</v>
      </c>
      <c r="F1235" s="1" t="s">
        <v>4635</v>
      </c>
      <c r="G1235" s="1">
        <v>621804</v>
      </c>
      <c r="H1235" s="1">
        <v>0.75</v>
      </c>
    </row>
    <row r="1236" spans="1:8" ht="21.75" customHeight="1">
      <c r="A1236" s="1" t="str">
        <f>"IN30051322410217"</f>
        <v>IN30051322410217</v>
      </c>
      <c r="B1236" s="1" t="s">
        <v>4639</v>
      </c>
      <c r="C1236" s="1" t="s">
        <v>4640</v>
      </c>
      <c r="D1236" s="1" t="s">
        <v>4641</v>
      </c>
      <c r="E1236" s="1" t="s">
        <v>4642</v>
      </c>
      <c r="F1236" s="1"/>
      <c r="G1236" s="1">
        <v>621805</v>
      </c>
      <c r="H1236" s="1">
        <v>3.75</v>
      </c>
    </row>
    <row r="1237" spans="1:8" ht="21.75" customHeight="1">
      <c r="A1237" s="1" t="str">
        <f>"1208160024618082"</f>
        <v>1208160024618082</v>
      </c>
      <c r="B1237" s="1" t="s">
        <v>4644</v>
      </c>
      <c r="C1237" s="1" t="s">
        <v>4645</v>
      </c>
      <c r="D1237" s="1" t="s">
        <v>4646</v>
      </c>
      <c r="E1237" s="1"/>
      <c r="F1237" s="1" t="s">
        <v>4643</v>
      </c>
      <c r="G1237" s="1">
        <v>622301</v>
      </c>
      <c r="H1237" s="1">
        <v>3.75</v>
      </c>
    </row>
    <row r="1238" spans="1:8" ht="21.75" customHeight="1">
      <c r="A1238" s="1" t="str">
        <f>"IN30163742150631"</f>
        <v>IN30163742150631</v>
      </c>
      <c r="B1238" s="1" t="s">
        <v>4647</v>
      </c>
      <c r="C1238" s="2">
        <v>45122</v>
      </c>
      <c r="D1238" s="1" t="s">
        <v>4648</v>
      </c>
      <c r="E1238" s="1" t="s">
        <v>4649</v>
      </c>
      <c r="F1238" s="1"/>
      <c r="G1238" s="1">
        <v>624001</v>
      </c>
      <c r="H1238" s="1">
        <v>3.75</v>
      </c>
    </row>
    <row r="1239" spans="1:8" ht="21.75" customHeight="1">
      <c r="A1239" s="1" t="str">
        <f>"1208160088344912"</f>
        <v>1208160088344912</v>
      </c>
      <c r="B1239" s="1" t="s">
        <v>4650</v>
      </c>
      <c r="C1239" s="1" t="s">
        <v>4651</v>
      </c>
      <c r="D1239" s="1"/>
      <c r="E1239" s="1"/>
      <c r="F1239" s="1" t="s">
        <v>4327</v>
      </c>
      <c r="G1239" s="1">
        <v>624216</v>
      </c>
      <c r="H1239" s="1">
        <v>7.5</v>
      </c>
    </row>
    <row r="1240" spans="1:8" ht="21.75" customHeight="1">
      <c r="A1240" s="1" t="str">
        <f>"1203600005148539"</f>
        <v>1203600005148539</v>
      </c>
      <c r="B1240" s="1" t="s">
        <v>4652</v>
      </c>
      <c r="C1240" s="1" t="s">
        <v>4653</v>
      </c>
      <c r="D1240" s="1" t="s">
        <v>4654</v>
      </c>
      <c r="E1240" s="1"/>
      <c r="F1240" s="1" t="s">
        <v>4327</v>
      </c>
      <c r="G1240" s="1">
        <v>624619</v>
      </c>
      <c r="H1240" s="1">
        <v>750</v>
      </c>
    </row>
    <row r="1241" spans="1:8" ht="21.75" customHeight="1">
      <c r="A1241" s="1" t="str">
        <f>"IN30429527973856"</f>
        <v>IN30429527973856</v>
      </c>
      <c r="B1241" s="1" t="s">
        <v>4655</v>
      </c>
      <c r="C1241" s="1" t="s">
        <v>4656</v>
      </c>
      <c r="D1241" s="1"/>
      <c r="E1241" s="1" t="s">
        <v>4657</v>
      </c>
      <c r="F1241" s="1"/>
      <c r="G1241" s="1">
        <v>624622</v>
      </c>
      <c r="H1241" s="1">
        <v>7.5</v>
      </c>
    </row>
    <row r="1242" spans="1:8" ht="21.75" customHeight="1">
      <c r="A1242" s="1" t="str">
        <f>"IN30429517810670"</f>
        <v>IN30429517810670</v>
      </c>
      <c r="B1242" s="1" t="s">
        <v>4658</v>
      </c>
      <c r="C1242" s="1" t="s">
        <v>4659</v>
      </c>
      <c r="D1242" s="1" t="s">
        <v>4660</v>
      </c>
      <c r="E1242" s="1" t="s">
        <v>4661</v>
      </c>
      <c r="F1242" s="1"/>
      <c r="G1242" s="1">
        <v>624709</v>
      </c>
      <c r="H1242" s="1">
        <v>150</v>
      </c>
    </row>
    <row r="1243" spans="1:8" ht="21.75" customHeight="1">
      <c r="A1243" s="1" t="str">
        <f>"1208870085457015"</f>
        <v>1208870085457015</v>
      </c>
      <c r="B1243" s="1" t="s">
        <v>4662</v>
      </c>
      <c r="C1243" s="1" t="s">
        <v>4663</v>
      </c>
      <c r="D1243" s="1" t="s">
        <v>4664</v>
      </c>
      <c r="E1243" s="1" t="s">
        <v>4665</v>
      </c>
      <c r="F1243" s="1" t="s">
        <v>402</v>
      </c>
      <c r="G1243" s="1">
        <v>625002</v>
      </c>
      <c r="H1243" s="1">
        <v>0.75</v>
      </c>
    </row>
    <row r="1244" spans="1:8" ht="21.75" customHeight="1">
      <c r="A1244" s="1" t="str">
        <f>"IN30051320157628"</f>
        <v>IN30051320157628</v>
      </c>
      <c r="B1244" s="1" t="s">
        <v>4666</v>
      </c>
      <c r="C1244" s="1" t="s">
        <v>4667</v>
      </c>
      <c r="D1244" s="1" t="s">
        <v>4668</v>
      </c>
      <c r="E1244" s="1" t="s">
        <v>4669</v>
      </c>
      <c r="F1244" s="1"/>
      <c r="G1244" s="1">
        <v>625002</v>
      </c>
      <c r="H1244" s="1">
        <v>3.75</v>
      </c>
    </row>
    <row r="1245" spans="1:8" ht="21.75" customHeight="1">
      <c r="A1245" s="1" t="str">
        <f>"1208160066134298"</f>
        <v>1208160066134298</v>
      </c>
      <c r="B1245" s="1" t="s">
        <v>4670</v>
      </c>
      <c r="C1245" s="1" t="s">
        <v>4671</v>
      </c>
      <c r="D1245" s="1" t="s">
        <v>4672</v>
      </c>
      <c r="E1245" s="1"/>
      <c r="F1245" s="1" t="s">
        <v>402</v>
      </c>
      <c r="G1245" s="1">
        <v>625009</v>
      </c>
      <c r="H1245" s="1">
        <v>3.75</v>
      </c>
    </row>
    <row r="1246" spans="1:8" ht="21.75" customHeight="1">
      <c r="A1246" s="1" t="str">
        <f>"IN30429523111998"</f>
        <v>IN30429523111998</v>
      </c>
      <c r="B1246" s="1" t="s">
        <v>4673</v>
      </c>
      <c r="C1246" s="1" t="s">
        <v>4674</v>
      </c>
      <c r="D1246" s="1" t="s">
        <v>4675</v>
      </c>
      <c r="E1246" s="1" t="s">
        <v>4676</v>
      </c>
      <c r="F1246" s="1"/>
      <c r="G1246" s="1">
        <v>625012</v>
      </c>
      <c r="H1246" s="1">
        <v>9</v>
      </c>
    </row>
    <row r="1247" spans="1:8" ht="21.75" customHeight="1">
      <c r="A1247" s="1" t="str">
        <f>"1204920002386738"</f>
        <v>1204920002386738</v>
      </c>
      <c r="B1247" s="1" t="s">
        <v>4678</v>
      </c>
      <c r="C1247" s="1" t="s">
        <v>4679</v>
      </c>
      <c r="D1247" s="1" t="s">
        <v>4680</v>
      </c>
      <c r="E1247" s="1" t="s">
        <v>410</v>
      </c>
      <c r="F1247" s="1" t="s">
        <v>4677</v>
      </c>
      <c r="G1247" s="1">
        <v>625512</v>
      </c>
      <c r="H1247" s="1">
        <v>0.75</v>
      </c>
    </row>
    <row r="1248" spans="1:8" ht="21.75" customHeight="1">
      <c r="A1248" s="1" t="str">
        <f>"IN30429528601699"</f>
        <v>IN30429528601699</v>
      </c>
      <c r="B1248" s="1" t="s">
        <v>4681</v>
      </c>
      <c r="C1248" s="1" t="s">
        <v>4682</v>
      </c>
      <c r="D1248" s="1" t="s">
        <v>4683</v>
      </c>
      <c r="E1248" s="1" t="s">
        <v>4684</v>
      </c>
      <c r="F1248" s="1"/>
      <c r="G1248" s="1">
        <v>625531</v>
      </c>
      <c r="H1248" s="1">
        <v>0.75</v>
      </c>
    </row>
    <row r="1249" spans="1:8" ht="21.75" customHeight="1">
      <c r="A1249" s="1" t="str">
        <f>"IN30429518900813"</f>
        <v>IN30429518900813</v>
      </c>
      <c r="B1249" s="1" t="s">
        <v>4685</v>
      </c>
      <c r="C1249" s="1" t="s">
        <v>4686</v>
      </c>
      <c r="D1249" s="1" t="s">
        <v>4687</v>
      </c>
      <c r="E1249" s="1" t="s">
        <v>4688</v>
      </c>
      <c r="F1249" s="1"/>
      <c r="G1249" s="1">
        <v>625531</v>
      </c>
      <c r="H1249" s="1">
        <v>0.75</v>
      </c>
    </row>
    <row r="1250" spans="1:8" ht="21.75" customHeight="1">
      <c r="A1250" s="1" t="str">
        <f>"IN30429525890745"</f>
        <v>IN30429525890745</v>
      </c>
      <c r="B1250" s="1" t="s">
        <v>4689</v>
      </c>
      <c r="C1250" s="1" t="s">
        <v>4690</v>
      </c>
      <c r="D1250" s="1" t="s">
        <v>109</v>
      </c>
      <c r="E1250" s="1" t="s">
        <v>4691</v>
      </c>
      <c r="F1250" s="1"/>
      <c r="G1250" s="1">
        <v>625534</v>
      </c>
      <c r="H1250" s="1">
        <v>0.75</v>
      </c>
    </row>
    <row r="1251" spans="1:8" ht="21.75" customHeight="1">
      <c r="A1251" s="1" t="str">
        <f>"1201090013823438"</f>
        <v>1201090013823438</v>
      </c>
      <c r="B1251" s="1" t="s">
        <v>4692</v>
      </c>
      <c r="C1251" s="1" t="s">
        <v>4693</v>
      </c>
      <c r="D1251" s="1" t="s">
        <v>4694</v>
      </c>
      <c r="E1251" s="1" t="s">
        <v>4695</v>
      </c>
      <c r="F1251" s="1" t="s">
        <v>4677</v>
      </c>
      <c r="G1251" s="1">
        <v>625601</v>
      </c>
      <c r="H1251" s="1">
        <v>8.25</v>
      </c>
    </row>
    <row r="1252" spans="1:8" ht="21.75" customHeight="1">
      <c r="A1252" s="1" t="str">
        <f>"IN30429526631456"</f>
        <v>IN30429526631456</v>
      </c>
      <c r="B1252" s="1" t="s">
        <v>4696</v>
      </c>
      <c r="C1252" s="1" t="s">
        <v>4697</v>
      </c>
      <c r="D1252" s="1" t="s">
        <v>4698</v>
      </c>
      <c r="E1252" s="1" t="s">
        <v>4699</v>
      </c>
      <c r="F1252" s="1"/>
      <c r="G1252" s="1">
        <v>625707</v>
      </c>
      <c r="H1252" s="1">
        <v>0.75</v>
      </c>
    </row>
    <row r="1253" spans="1:8" ht="21.75" customHeight="1">
      <c r="A1253" s="1" t="str">
        <f>"1208870057590194"</f>
        <v>1208870057590194</v>
      </c>
      <c r="B1253" s="1" t="s">
        <v>4702</v>
      </c>
      <c r="C1253" s="1" t="s">
        <v>4703</v>
      </c>
      <c r="D1253" s="1" t="s">
        <v>4704</v>
      </c>
      <c r="E1253" s="1" t="s">
        <v>410</v>
      </c>
      <c r="F1253" s="1" t="s">
        <v>4701</v>
      </c>
      <c r="G1253" s="1">
        <v>626001</v>
      </c>
      <c r="H1253" s="1">
        <v>6</v>
      </c>
    </row>
    <row r="1254" spans="1:8" ht="21.75" customHeight="1">
      <c r="A1254" s="1" t="str">
        <f>"IN30429523643692"</f>
        <v>IN30429523643692</v>
      </c>
      <c r="B1254" s="1" t="s">
        <v>4705</v>
      </c>
      <c r="C1254" s="1" t="s">
        <v>4706</v>
      </c>
      <c r="D1254" s="1" t="s">
        <v>4707</v>
      </c>
      <c r="E1254" s="1" t="s">
        <v>4708</v>
      </c>
      <c r="F1254" s="1"/>
      <c r="G1254" s="1">
        <v>626101</v>
      </c>
      <c r="H1254" s="1">
        <v>9.75</v>
      </c>
    </row>
    <row r="1255" spans="1:8" ht="21.75" customHeight="1">
      <c r="A1255" s="1" t="str">
        <f>"IN30429523598533"</f>
        <v>IN30429523598533</v>
      </c>
      <c r="B1255" s="1" t="s">
        <v>4709</v>
      </c>
      <c r="C1255" s="1" t="s">
        <v>4710</v>
      </c>
      <c r="D1255" s="1" t="s">
        <v>4711</v>
      </c>
      <c r="E1255" s="1" t="s">
        <v>4712</v>
      </c>
      <c r="F1255" s="1"/>
      <c r="G1255" s="1">
        <v>626101</v>
      </c>
      <c r="H1255" s="1">
        <v>7.5</v>
      </c>
    </row>
    <row r="1256" spans="1:8" ht="21.75" customHeight="1">
      <c r="A1256" s="1" t="str">
        <f>"1204920002441237"</f>
        <v>1204920002441237</v>
      </c>
      <c r="B1256" s="1" t="s">
        <v>4714</v>
      </c>
      <c r="C1256" s="1" t="s">
        <v>4715</v>
      </c>
      <c r="D1256" s="1" t="s">
        <v>4716</v>
      </c>
      <c r="E1256" s="1" t="s">
        <v>4717</v>
      </c>
      <c r="F1256" s="1" t="s">
        <v>4713</v>
      </c>
      <c r="G1256" s="1">
        <v>626205</v>
      </c>
      <c r="H1256" s="1">
        <v>0.75</v>
      </c>
    </row>
    <row r="1257" spans="1:8" ht="21.75" customHeight="1">
      <c r="A1257" s="1" t="str">
        <f>"1203320015774279"</f>
        <v>1203320015774279</v>
      </c>
      <c r="B1257" s="1" t="s">
        <v>4719</v>
      </c>
      <c r="C1257" s="1" t="s">
        <v>4720</v>
      </c>
      <c r="D1257" s="1" t="s">
        <v>4721</v>
      </c>
      <c r="E1257" s="1"/>
      <c r="F1257" s="1" t="s">
        <v>4718</v>
      </c>
      <c r="G1257" s="1">
        <v>627006</v>
      </c>
      <c r="H1257" s="1">
        <v>127.5</v>
      </c>
    </row>
    <row r="1258" spans="1:8" ht="21.75" customHeight="1">
      <c r="A1258" s="1" t="str">
        <f>"1201910102359861"</f>
        <v>1201910102359861</v>
      </c>
      <c r="B1258" s="1" t="s">
        <v>4722</v>
      </c>
      <c r="C1258" s="1" t="s">
        <v>4723</v>
      </c>
      <c r="D1258" s="1" t="s">
        <v>4724</v>
      </c>
      <c r="E1258" s="1" t="s">
        <v>4725</v>
      </c>
      <c r="F1258" s="1" t="s">
        <v>4726</v>
      </c>
      <c r="G1258" s="1">
        <v>627151</v>
      </c>
      <c r="H1258" s="1">
        <v>15</v>
      </c>
    </row>
    <row r="1259" spans="1:8" ht="21.75" customHeight="1">
      <c r="A1259" s="1" t="str">
        <f>"1208160077809637"</f>
        <v>1208160077809637</v>
      </c>
      <c r="B1259" s="1" t="s">
        <v>4727</v>
      </c>
      <c r="C1259" s="1" t="s">
        <v>4728</v>
      </c>
      <c r="D1259" s="1" t="s">
        <v>4729</v>
      </c>
      <c r="E1259" s="1"/>
      <c r="F1259" s="1" t="s">
        <v>4718</v>
      </c>
      <c r="G1259" s="1">
        <v>627502</v>
      </c>
      <c r="H1259" s="1">
        <v>90</v>
      </c>
    </row>
    <row r="1260" spans="1:8" ht="21.75" customHeight="1">
      <c r="A1260" s="1" t="str">
        <f>"IN30429527798423"</f>
        <v>IN30429527798423</v>
      </c>
      <c r="B1260" s="1" t="s">
        <v>4730</v>
      </c>
      <c r="C1260" s="1" t="s">
        <v>4731</v>
      </c>
      <c r="D1260" s="1" t="s">
        <v>4732</v>
      </c>
      <c r="E1260" s="1" t="s">
        <v>4733</v>
      </c>
      <c r="F1260" s="1"/>
      <c r="G1260" s="1">
        <v>627751</v>
      </c>
      <c r="H1260" s="1">
        <v>1.5</v>
      </c>
    </row>
    <row r="1261" spans="1:8" ht="21.75" customHeight="1">
      <c r="A1261" s="1" t="str">
        <f>"IN30163741671608"</f>
        <v>IN30163741671608</v>
      </c>
      <c r="B1261" s="1" t="s">
        <v>4734</v>
      </c>
      <c r="C1261" s="5">
        <v>13789</v>
      </c>
      <c r="D1261" s="1" t="s">
        <v>4735</v>
      </c>
      <c r="E1261" s="1" t="s">
        <v>4736</v>
      </c>
      <c r="F1261" s="1"/>
      <c r="G1261" s="1">
        <v>628104</v>
      </c>
      <c r="H1261" s="1">
        <v>0.75</v>
      </c>
    </row>
    <row r="1262" spans="1:8" ht="21.75" customHeight="1">
      <c r="A1262" s="1" t="str">
        <f>"1208160007104686"</f>
        <v>1208160007104686</v>
      </c>
      <c r="B1262" s="1" t="s">
        <v>4737</v>
      </c>
      <c r="C1262" s="1" t="s">
        <v>4738</v>
      </c>
      <c r="D1262" s="1" t="s">
        <v>4739</v>
      </c>
      <c r="E1262" s="1" t="s">
        <v>4740</v>
      </c>
      <c r="F1262" s="1" t="s">
        <v>4741</v>
      </c>
      <c r="G1262" s="1">
        <v>628502</v>
      </c>
      <c r="H1262" s="1">
        <v>2.25</v>
      </c>
    </row>
    <row r="1263" spans="1:8" ht="21.75" customHeight="1">
      <c r="A1263" s="1" t="str">
        <f>"1204920002210620"</f>
        <v>1204920002210620</v>
      </c>
      <c r="B1263" s="1" t="s">
        <v>4742</v>
      </c>
      <c r="C1263" s="1" t="s">
        <v>4743</v>
      </c>
      <c r="D1263" s="1" t="s">
        <v>4744</v>
      </c>
      <c r="E1263" s="1" t="s">
        <v>4745</v>
      </c>
      <c r="F1263" s="1" t="s">
        <v>4746</v>
      </c>
      <c r="G1263" s="1">
        <v>628503</v>
      </c>
      <c r="H1263" s="1">
        <v>0.75</v>
      </c>
    </row>
    <row r="1264" spans="1:8" ht="21.75" customHeight="1">
      <c r="A1264" s="1" t="str">
        <f>"1208160033890389"</f>
        <v>1208160033890389</v>
      </c>
      <c r="B1264" s="1" t="s">
        <v>4747</v>
      </c>
      <c r="C1264" s="1" t="s">
        <v>4748</v>
      </c>
      <c r="D1264" s="1" t="s">
        <v>4749</v>
      </c>
      <c r="E1264" s="1"/>
      <c r="F1264" s="1" t="s">
        <v>4746</v>
      </c>
      <c r="G1264" s="1">
        <v>628907</v>
      </c>
      <c r="H1264" s="1">
        <v>7.5</v>
      </c>
    </row>
    <row r="1265" spans="1:8" ht="21.75" customHeight="1">
      <c r="A1265" s="1" t="str">
        <f>"1208040000004967"</f>
        <v>1208040000004967</v>
      </c>
      <c r="B1265" s="1" t="s">
        <v>4751</v>
      </c>
      <c r="C1265" s="1" t="s">
        <v>4752</v>
      </c>
      <c r="D1265" s="1" t="s">
        <v>4753</v>
      </c>
      <c r="E1265" s="1" t="s">
        <v>4753</v>
      </c>
      <c r="F1265" s="1" t="s">
        <v>4754</v>
      </c>
      <c r="G1265" s="1">
        <v>628907</v>
      </c>
      <c r="H1265" s="1">
        <v>0.75</v>
      </c>
    </row>
    <row r="1266" spans="1:8" ht="21.75" customHeight="1">
      <c r="A1266" s="1" t="str">
        <f>"IN30260310207089"</f>
        <v>IN30260310207089</v>
      </c>
      <c r="B1266" s="1" t="s">
        <v>4755</v>
      </c>
      <c r="C1266" s="1" t="s">
        <v>4756</v>
      </c>
      <c r="D1266" s="1" t="s">
        <v>4757</v>
      </c>
      <c r="E1266" s="1" t="s">
        <v>4758</v>
      </c>
      <c r="F1266" s="1"/>
      <c r="G1266" s="1">
        <v>629003</v>
      </c>
      <c r="H1266" s="1">
        <v>3.75</v>
      </c>
    </row>
    <row r="1267" spans="1:8" ht="21.75" customHeight="1">
      <c r="A1267" s="1" t="str">
        <f>"IN30302868533082"</f>
        <v>IN30302868533082</v>
      </c>
      <c r="B1267" s="1" t="s">
        <v>4759</v>
      </c>
      <c r="C1267" s="1" t="s">
        <v>4760</v>
      </c>
      <c r="D1267" s="1" t="s">
        <v>4761</v>
      </c>
      <c r="E1267" s="1" t="s">
        <v>4762</v>
      </c>
      <c r="F1267" s="1"/>
      <c r="G1267" s="1">
        <v>629004</v>
      </c>
      <c r="H1267" s="1">
        <v>3.75</v>
      </c>
    </row>
    <row r="1268" spans="1:8" ht="21.75" customHeight="1">
      <c r="A1268" s="1" t="str">
        <f>"1204920002011316"</f>
        <v>1204920002011316</v>
      </c>
      <c r="B1268" s="1" t="s">
        <v>4764</v>
      </c>
      <c r="C1268" s="1" t="s">
        <v>4765</v>
      </c>
      <c r="D1268" s="1" t="s">
        <v>4766</v>
      </c>
      <c r="E1268" s="1" t="s">
        <v>410</v>
      </c>
      <c r="F1268" s="1" t="s">
        <v>4763</v>
      </c>
      <c r="G1268" s="1">
        <v>629153</v>
      </c>
      <c r="H1268" s="1">
        <v>1.5</v>
      </c>
    </row>
    <row r="1269" spans="1:8" ht="21.75" customHeight="1">
      <c r="A1269" s="1" t="str">
        <f>"1208250018790634"</f>
        <v>1208250018790634</v>
      </c>
      <c r="B1269" s="1" t="s">
        <v>4768</v>
      </c>
      <c r="C1269" s="1" t="s">
        <v>4769</v>
      </c>
      <c r="D1269" s="1" t="s">
        <v>4770</v>
      </c>
      <c r="E1269" s="1" t="s">
        <v>4771</v>
      </c>
      <c r="F1269" s="1" t="s">
        <v>4767</v>
      </c>
      <c r="G1269" s="1">
        <v>630005</v>
      </c>
      <c r="H1269" s="1">
        <v>5.25</v>
      </c>
    </row>
    <row r="1270" spans="1:8" ht="21.75" customHeight="1">
      <c r="A1270" s="1" t="str">
        <f>"IN30429570171969"</f>
        <v>IN30429570171969</v>
      </c>
      <c r="B1270" s="1" t="s">
        <v>4772</v>
      </c>
      <c r="C1270" s="1" t="s">
        <v>4773</v>
      </c>
      <c r="D1270" s="1" t="s">
        <v>3678</v>
      </c>
      <c r="E1270" s="1" t="s">
        <v>4774</v>
      </c>
      <c r="F1270" s="1"/>
      <c r="G1270" s="1">
        <v>630302</v>
      </c>
      <c r="H1270" s="1">
        <v>7.5</v>
      </c>
    </row>
    <row r="1271" spans="1:8" ht="21.75" customHeight="1">
      <c r="A1271" s="1" t="str">
        <f>"1204470006117142"</f>
        <v>1204470006117142</v>
      </c>
      <c r="B1271" s="1" t="s">
        <v>4775</v>
      </c>
      <c r="C1271" s="1" t="s">
        <v>4776</v>
      </c>
      <c r="D1271" s="1" t="s">
        <v>4777</v>
      </c>
      <c r="E1271" s="1"/>
      <c r="F1271" s="1" t="s">
        <v>4778</v>
      </c>
      <c r="G1271" s="1">
        <v>630561</v>
      </c>
      <c r="H1271" s="1">
        <v>15</v>
      </c>
    </row>
    <row r="1272" spans="1:8" ht="21.75" customHeight="1">
      <c r="A1272" s="1" t="str">
        <f>"1203320019239087"</f>
        <v>1203320019239087</v>
      </c>
      <c r="B1272" s="1" t="s">
        <v>4779</v>
      </c>
      <c r="C1272" s="1" t="s">
        <v>4780</v>
      </c>
      <c r="D1272" s="1" t="s">
        <v>4781</v>
      </c>
      <c r="E1272" s="1" t="s">
        <v>4782</v>
      </c>
      <c r="F1272" s="1" t="s">
        <v>4767</v>
      </c>
      <c r="G1272" s="1">
        <v>630606</v>
      </c>
      <c r="H1272" s="1">
        <v>18.75</v>
      </c>
    </row>
    <row r="1273" spans="1:8" ht="21.75" customHeight="1">
      <c r="A1273" s="1" t="str">
        <f>"1208160062928792"</f>
        <v>1208160062928792</v>
      </c>
      <c r="B1273" s="1" t="s">
        <v>4783</v>
      </c>
      <c r="C1273" s="1" t="s">
        <v>4784</v>
      </c>
      <c r="D1273" s="1" t="s">
        <v>4785</v>
      </c>
      <c r="E1273" s="1"/>
      <c r="F1273" s="1" t="s">
        <v>411</v>
      </c>
      <c r="G1273" s="1">
        <v>631051</v>
      </c>
      <c r="H1273" s="1">
        <v>0.75</v>
      </c>
    </row>
    <row r="1274" spans="1:8" ht="21.75" customHeight="1">
      <c r="A1274" s="1" t="str">
        <f>"1208160027011341"</f>
        <v>1208160027011341</v>
      </c>
      <c r="B1274" s="1" t="s">
        <v>4786</v>
      </c>
      <c r="C1274" s="1" t="s">
        <v>4787</v>
      </c>
      <c r="D1274" s="1" t="s">
        <v>4788</v>
      </c>
      <c r="E1274" s="1"/>
      <c r="F1274" s="1" t="s">
        <v>411</v>
      </c>
      <c r="G1274" s="1">
        <v>631052</v>
      </c>
      <c r="H1274" s="1">
        <v>9</v>
      </c>
    </row>
    <row r="1275" spans="1:8" ht="21.75" customHeight="1">
      <c r="A1275" s="1" t="str">
        <f>"1204920002154729"</f>
        <v>1204920002154729</v>
      </c>
      <c r="B1275" s="1" t="s">
        <v>4789</v>
      </c>
      <c r="C1275" s="1" t="s">
        <v>4790</v>
      </c>
      <c r="D1275" s="1" t="s">
        <v>4791</v>
      </c>
      <c r="E1275" s="1" t="s">
        <v>410</v>
      </c>
      <c r="F1275" s="1" t="s">
        <v>4448</v>
      </c>
      <c r="G1275" s="1">
        <v>631402</v>
      </c>
      <c r="H1275" s="1">
        <v>0.75</v>
      </c>
    </row>
    <row r="1276" spans="1:8" ht="21.75" customHeight="1">
      <c r="A1276" s="1" t="str">
        <f>"IN30017510714057"</f>
        <v>IN30017510714057</v>
      </c>
      <c r="B1276" s="1" t="s">
        <v>4792</v>
      </c>
      <c r="C1276" s="1" t="s">
        <v>4793</v>
      </c>
      <c r="D1276" s="1" t="s">
        <v>4794</v>
      </c>
      <c r="E1276" s="1" t="s">
        <v>380</v>
      </c>
      <c r="F1276" s="1"/>
      <c r="G1276" s="1">
        <v>631501</v>
      </c>
      <c r="H1276" s="1">
        <v>6</v>
      </c>
    </row>
    <row r="1277" spans="1:8" ht="21.75" customHeight="1">
      <c r="A1277" s="1" t="str">
        <f>"1208160022742506"</f>
        <v>1208160022742506</v>
      </c>
      <c r="B1277" s="1" t="s">
        <v>4795</v>
      </c>
      <c r="C1277" s="1" t="s">
        <v>4796</v>
      </c>
      <c r="D1277" s="1"/>
      <c r="E1277" s="1"/>
      <c r="F1277" s="1" t="s">
        <v>4282</v>
      </c>
      <c r="G1277" s="1">
        <v>631502</v>
      </c>
      <c r="H1277" s="1">
        <v>112.5</v>
      </c>
    </row>
    <row r="1278" spans="1:8" ht="21.75" customHeight="1">
      <c r="A1278" s="1" t="str">
        <f>"1208870058454483"</f>
        <v>1208870058454483</v>
      </c>
      <c r="B1278" s="1" t="s">
        <v>4798</v>
      </c>
      <c r="C1278" s="1" t="s">
        <v>4799</v>
      </c>
      <c r="D1278" s="1" t="s">
        <v>4800</v>
      </c>
      <c r="E1278" s="1" t="s">
        <v>410</v>
      </c>
      <c r="F1278" s="1" t="s">
        <v>411</v>
      </c>
      <c r="G1278" s="1">
        <v>632001</v>
      </c>
      <c r="H1278" s="1">
        <v>23.25</v>
      </c>
    </row>
    <row r="1279" spans="1:8" ht="21.75" customHeight="1">
      <c r="A1279" s="1" t="str">
        <f>"1204920002350667"</f>
        <v>1204920002350667</v>
      </c>
      <c r="B1279" s="1" t="s">
        <v>4801</v>
      </c>
      <c r="C1279" s="1" t="s">
        <v>4802</v>
      </c>
      <c r="D1279" s="1" t="s">
        <v>4803</v>
      </c>
      <c r="E1279" s="1" t="s">
        <v>4804</v>
      </c>
      <c r="F1279" s="1" t="s">
        <v>411</v>
      </c>
      <c r="G1279" s="1">
        <v>632508</v>
      </c>
      <c r="H1279" s="1">
        <v>0.75</v>
      </c>
    </row>
    <row r="1280" spans="1:8" ht="21.75" customHeight="1">
      <c r="A1280" s="1" t="str">
        <f>"1204920002345207"</f>
        <v>1204920002345207</v>
      </c>
      <c r="B1280" s="1" t="s">
        <v>4805</v>
      </c>
      <c r="C1280" s="1" t="s">
        <v>4806</v>
      </c>
      <c r="D1280" s="1" t="s">
        <v>4807</v>
      </c>
      <c r="E1280" s="1" t="s">
        <v>4808</v>
      </c>
      <c r="F1280" s="1" t="s">
        <v>411</v>
      </c>
      <c r="G1280" s="1">
        <v>632509</v>
      </c>
      <c r="H1280" s="1">
        <v>0.75</v>
      </c>
    </row>
    <row r="1281" spans="1:8" ht="21.75" customHeight="1">
      <c r="A1281" s="1" t="str">
        <f>"1203320008600922"</f>
        <v>1203320008600922</v>
      </c>
      <c r="B1281" s="1" t="s">
        <v>4809</v>
      </c>
      <c r="C1281" s="1" t="s">
        <v>4810</v>
      </c>
      <c r="D1281" s="1" t="s">
        <v>4811</v>
      </c>
      <c r="E1281" s="1" t="s">
        <v>4812</v>
      </c>
      <c r="F1281" s="1" t="s">
        <v>4813</v>
      </c>
      <c r="G1281" s="1">
        <v>632515</v>
      </c>
      <c r="H1281" s="1">
        <v>15.75</v>
      </c>
    </row>
    <row r="1282" spans="1:8" ht="21.75" customHeight="1">
      <c r="A1282" s="1" t="str">
        <f>"IN30429527614908"</f>
        <v>IN30429527614908</v>
      </c>
      <c r="B1282" s="1" t="s">
        <v>4814</v>
      </c>
      <c r="C1282" s="1" t="s">
        <v>4815</v>
      </c>
      <c r="D1282" s="1" t="s">
        <v>4816</v>
      </c>
      <c r="E1282" s="1" t="s">
        <v>4817</v>
      </c>
      <c r="F1282" s="1"/>
      <c r="G1282" s="1">
        <v>635001</v>
      </c>
      <c r="H1282" s="1">
        <v>7.5</v>
      </c>
    </row>
    <row r="1283" spans="1:8" ht="21.75" customHeight="1">
      <c r="A1283" s="1" t="str">
        <f>"IN30281411087567"</f>
        <v>IN30281411087567</v>
      </c>
      <c r="B1283" s="1" t="s">
        <v>4819</v>
      </c>
      <c r="C1283" s="1" t="s">
        <v>4820</v>
      </c>
      <c r="D1283" s="1" t="s">
        <v>4821</v>
      </c>
      <c r="E1283" s="1" t="s">
        <v>4822</v>
      </c>
      <c r="F1283" s="1"/>
      <c r="G1283" s="1">
        <v>635001</v>
      </c>
      <c r="H1283" s="1">
        <v>7.5</v>
      </c>
    </row>
    <row r="1284" spans="1:8" ht="21.75" customHeight="1">
      <c r="A1284" s="1" t="str">
        <f>"1208870028518806"</f>
        <v>1208870028518806</v>
      </c>
      <c r="B1284" s="1" t="s">
        <v>4823</v>
      </c>
      <c r="C1284" s="1" t="s">
        <v>4824</v>
      </c>
      <c r="D1284" s="1" t="s">
        <v>4825</v>
      </c>
      <c r="E1284" s="1" t="s">
        <v>4826</v>
      </c>
      <c r="F1284" s="1" t="s">
        <v>411</v>
      </c>
      <c r="G1284" s="1">
        <v>635802</v>
      </c>
      <c r="H1284" s="1">
        <v>0.75</v>
      </c>
    </row>
    <row r="1285" spans="1:8" ht="21.75" customHeight="1">
      <c r="A1285" s="1" t="str">
        <f>"IN30017510535058"</f>
        <v>IN30017510535058</v>
      </c>
      <c r="B1285" s="1" t="s">
        <v>4827</v>
      </c>
      <c r="C1285" s="1" t="s">
        <v>4828</v>
      </c>
      <c r="D1285" s="1"/>
      <c r="E1285" s="1" t="s">
        <v>412</v>
      </c>
      <c r="F1285" s="1"/>
      <c r="G1285" s="1">
        <v>636001</v>
      </c>
      <c r="H1285" s="1">
        <v>15</v>
      </c>
    </row>
    <row r="1286" spans="1:8" ht="21.75" customHeight="1">
      <c r="A1286" s="1" t="str">
        <f>"1203460000081766"</f>
        <v>1203460000081766</v>
      </c>
      <c r="B1286" s="1" t="s">
        <v>4830</v>
      </c>
      <c r="C1286" s="1" t="s">
        <v>4831</v>
      </c>
      <c r="D1286" s="1"/>
      <c r="E1286" s="1"/>
      <c r="F1286" s="1" t="s">
        <v>412</v>
      </c>
      <c r="G1286" s="1">
        <v>636001</v>
      </c>
      <c r="H1286" s="1">
        <v>7.5</v>
      </c>
    </row>
    <row r="1287" spans="1:8" ht="21.75" customHeight="1">
      <c r="A1287" s="1" t="str">
        <f>"1204920002254145"</f>
        <v>1204920002254145</v>
      </c>
      <c r="B1287" s="1" t="s">
        <v>4832</v>
      </c>
      <c r="C1287" s="1" t="s">
        <v>4833</v>
      </c>
      <c r="D1287" s="1" t="s">
        <v>4834</v>
      </c>
      <c r="E1287" s="1"/>
      <c r="F1287" s="1" t="s">
        <v>412</v>
      </c>
      <c r="G1287" s="1">
        <v>636008</v>
      </c>
      <c r="H1287" s="1">
        <v>0.75</v>
      </c>
    </row>
    <row r="1288" spans="1:8" ht="21.75" customHeight="1">
      <c r="A1288" s="1" t="str">
        <f>"1201090001880016"</f>
        <v>1201090001880016</v>
      </c>
      <c r="B1288" s="1" t="s">
        <v>4835</v>
      </c>
      <c r="C1288" s="1" t="s">
        <v>4836</v>
      </c>
      <c r="D1288" s="1" t="s">
        <v>4837</v>
      </c>
      <c r="E1288" s="1" t="s">
        <v>4838</v>
      </c>
      <c r="F1288" s="1" t="s">
        <v>412</v>
      </c>
      <c r="G1288" s="1">
        <v>636010</v>
      </c>
      <c r="H1288" s="1">
        <v>150</v>
      </c>
    </row>
    <row r="1289" spans="1:8" ht="21.75" customHeight="1">
      <c r="A1289" s="1" t="str">
        <f>"IN30131321585266"</f>
        <v>IN30131321585266</v>
      </c>
      <c r="B1289" s="1" t="s">
        <v>4839</v>
      </c>
      <c r="C1289" s="1" t="s">
        <v>4840</v>
      </c>
      <c r="D1289" s="1" t="s">
        <v>4841</v>
      </c>
      <c r="E1289" s="1" t="s">
        <v>4842</v>
      </c>
      <c r="F1289" s="1"/>
      <c r="G1289" s="1">
        <v>636016</v>
      </c>
      <c r="H1289" s="1">
        <v>9</v>
      </c>
    </row>
    <row r="1290" spans="1:8" ht="21.75" customHeight="1">
      <c r="A1290" s="1" t="str">
        <f>"IN30429528091948"</f>
        <v>IN30429528091948</v>
      </c>
      <c r="B1290" s="1" t="s">
        <v>4843</v>
      </c>
      <c r="C1290" s="1" t="s">
        <v>4844</v>
      </c>
      <c r="D1290" s="1" t="s">
        <v>4845</v>
      </c>
      <c r="E1290" s="1" t="s">
        <v>4846</v>
      </c>
      <c r="F1290" s="1"/>
      <c r="G1290" s="1">
        <v>636111</v>
      </c>
      <c r="H1290" s="1">
        <v>7.5</v>
      </c>
    </row>
    <row r="1291" spans="1:8" ht="21.75" customHeight="1">
      <c r="A1291" s="1" t="str">
        <f>"IN30429527628966"</f>
        <v>IN30429527628966</v>
      </c>
      <c r="B1291" s="1" t="s">
        <v>4847</v>
      </c>
      <c r="C1291" s="1" t="s">
        <v>4848</v>
      </c>
      <c r="D1291" s="1" t="s">
        <v>4849</v>
      </c>
      <c r="E1291" s="1" t="s">
        <v>4850</v>
      </c>
      <c r="F1291" s="1"/>
      <c r="G1291" s="1">
        <v>636122</v>
      </c>
      <c r="H1291" s="1">
        <v>1.5</v>
      </c>
    </row>
    <row r="1292" spans="1:8" ht="21.75" customHeight="1">
      <c r="A1292" s="1" t="str">
        <f>"1208160033243030"</f>
        <v>1208160033243030</v>
      </c>
      <c r="B1292" s="1" t="s">
        <v>4851</v>
      </c>
      <c r="C1292" s="1" t="s">
        <v>4852</v>
      </c>
      <c r="D1292" s="1" t="s">
        <v>4853</v>
      </c>
      <c r="E1292" s="1"/>
      <c r="F1292" s="1" t="s">
        <v>412</v>
      </c>
      <c r="G1292" s="1">
        <v>636302</v>
      </c>
      <c r="H1292" s="1">
        <v>0.75</v>
      </c>
    </row>
    <row r="1293" spans="1:8" ht="21.75" customHeight="1">
      <c r="A1293" s="1" t="str">
        <f>"IN30023980289381"</f>
        <v>IN30023980289381</v>
      </c>
      <c r="B1293" s="1" t="s">
        <v>4854</v>
      </c>
      <c r="C1293" s="1" t="s">
        <v>4855</v>
      </c>
      <c r="D1293" s="1" t="s">
        <v>4856</v>
      </c>
      <c r="E1293" s="1" t="s">
        <v>4857</v>
      </c>
      <c r="F1293" s="1"/>
      <c r="G1293" s="1">
        <v>636403</v>
      </c>
      <c r="H1293" s="1">
        <v>3</v>
      </c>
    </row>
    <row r="1294" spans="1:8" ht="21.75" customHeight="1">
      <c r="A1294" s="1" t="str">
        <f>"1201090025266565"</f>
        <v>1201090025266565</v>
      </c>
      <c r="B1294" s="1" t="s">
        <v>4858</v>
      </c>
      <c r="C1294" s="1" t="s">
        <v>4859</v>
      </c>
      <c r="D1294" s="1" t="s">
        <v>4860</v>
      </c>
      <c r="E1294" s="1" t="s">
        <v>4861</v>
      </c>
      <c r="F1294" s="1" t="s">
        <v>412</v>
      </c>
      <c r="G1294" s="1">
        <v>636501</v>
      </c>
      <c r="H1294" s="1">
        <v>150</v>
      </c>
    </row>
    <row r="1295" spans="1:8" ht="21.75" customHeight="1">
      <c r="A1295" s="1" t="str">
        <f>"1204880000259881"</f>
        <v>1204880000259881</v>
      </c>
      <c r="B1295" s="1" t="s">
        <v>4862</v>
      </c>
      <c r="C1295" s="1" t="s">
        <v>4863</v>
      </c>
      <c r="D1295" s="1" t="s">
        <v>4864</v>
      </c>
      <c r="E1295" s="1" t="s">
        <v>4864</v>
      </c>
      <c r="F1295" s="1" t="s">
        <v>4750</v>
      </c>
      <c r="G1295" s="1">
        <v>636810</v>
      </c>
      <c r="H1295" s="1">
        <v>15</v>
      </c>
    </row>
    <row r="1296" spans="1:8" ht="21.75" customHeight="1">
      <c r="A1296" s="1" t="str">
        <f>"1203320062640617"</f>
        <v>1203320062640617</v>
      </c>
      <c r="B1296" s="1" t="s">
        <v>4865</v>
      </c>
      <c r="C1296" s="1" t="s">
        <v>4866</v>
      </c>
      <c r="D1296" s="1" t="s">
        <v>4864</v>
      </c>
      <c r="E1296" s="1"/>
      <c r="F1296" s="1" t="s">
        <v>4867</v>
      </c>
      <c r="G1296" s="1">
        <v>636810</v>
      </c>
      <c r="H1296" s="1">
        <v>11.25</v>
      </c>
    </row>
    <row r="1297" spans="1:8" ht="21.75" customHeight="1">
      <c r="A1297" s="1" t="str">
        <f>"1203320022321934"</f>
        <v>1203320022321934</v>
      </c>
      <c r="B1297" s="1" t="s">
        <v>4868</v>
      </c>
      <c r="C1297" s="1" t="s">
        <v>4869</v>
      </c>
      <c r="D1297" s="1" t="s">
        <v>4870</v>
      </c>
      <c r="E1297" s="1" t="s">
        <v>417</v>
      </c>
      <c r="F1297" s="1" t="s">
        <v>417</v>
      </c>
      <c r="G1297" s="1">
        <v>637001</v>
      </c>
      <c r="H1297" s="1">
        <v>112.5</v>
      </c>
    </row>
    <row r="1298" spans="1:8" ht="21.75" customHeight="1">
      <c r="A1298" s="1" t="str">
        <f>"IN30429525763923"</f>
        <v>IN30429525763923</v>
      </c>
      <c r="B1298" s="1" t="s">
        <v>4871</v>
      </c>
      <c r="C1298" s="1" t="s">
        <v>4872</v>
      </c>
      <c r="D1298" s="1" t="s">
        <v>4873</v>
      </c>
      <c r="E1298" s="1" t="s">
        <v>4874</v>
      </c>
      <c r="F1298" s="1"/>
      <c r="G1298" s="1">
        <v>637101</v>
      </c>
      <c r="H1298" s="1">
        <v>0.75</v>
      </c>
    </row>
    <row r="1299" spans="1:8" ht="21.75" customHeight="1">
      <c r="A1299" s="1" t="str">
        <f>"IN30429526198412"</f>
        <v>IN30429526198412</v>
      </c>
      <c r="B1299" s="1" t="s">
        <v>4875</v>
      </c>
      <c r="C1299" s="1" t="s">
        <v>4876</v>
      </c>
      <c r="D1299" s="1" t="s">
        <v>4877</v>
      </c>
      <c r="E1299" s="1" t="s">
        <v>4878</v>
      </c>
      <c r="F1299" s="1"/>
      <c r="G1299" s="1">
        <v>637402</v>
      </c>
      <c r="H1299" s="1">
        <v>8.25</v>
      </c>
    </row>
    <row r="1300" spans="1:8" ht="21.75" customHeight="1">
      <c r="A1300" s="1" t="str">
        <f>"1204920002143913"</f>
        <v>1204920002143913</v>
      </c>
      <c r="B1300" s="1" t="s">
        <v>4879</v>
      </c>
      <c r="C1300" s="1" t="s">
        <v>4880</v>
      </c>
      <c r="D1300" s="1" t="s">
        <v>4881</v>
      </c>
      <c r="E1300" s="1" t="s">
        <v>422</v>
      </c>
      <c r="F1300" s="1" t="s">
        <v>422</v>
      </c>
      <c r="G1300" s="1">
        <v>638004</v>
      </c>
      <c r="H1300" s="1">
        <v>0.75</v>
      </c>
    </row>
    <row r="1301" spans="1:8" ht="21.75" customHeight="1">
      <c r="A1301" s="1" t="str">
        <f>"IN30429526264396"</f>
        <v>IN30429526264396</v>
      </c>
      <c r="B1301" s="1" t="s">
        <v>4882</v>
      </c>
      <c r="C1301" s="1" t="s">
        <v>4883</v>
      </c>
      <c r="D1301" s="1" t="s">
        <v>4884</v>
      </c>
      <c r="E1301" s="1" t="s">
        <v>4885</v>
      </c>
      <c r="F1301" s="1"/>
      <c r="G1301" s="1">
        <v>638004</v>
      </c>
      <c r="H1301" s="1">
        <v>1.5</v>
      </c>
    </row>
    <row r="1302" spans="1:8" ht="21.75" customHeight="1">
      <c r="A1302" s="1" t="str">
        <f>"IN30429525088434"</f>
        <v>IN30429525088434</v>
      </c>
      <c r="B1302" s="1" t="s">
        <v>4886</v>
      </c>
      <c r="C1302" s="1" t="s">
        <v>4887</v>
      </c>
      <c r="D1302" s="1" t="s">
        <v>4888</v>
      </c>
      <c r="E1302" s="1" t="s">
        <v>4889</v>
      </c>
      <c r="F1302" s="1"/>
      <c r="G1302" s="1">
        <v>638004</v>
      </c>
      <c r="H1302" s="1">
        <v>3.75</v>
      </c>
    </row>
    <row r="1303" spans="1:8" ht="21.75" customHeight="1">
      <c r="A1303" s="1" t="str">
        <f>"1208160034647564"</f>
        <v>1208160034647564</v>
      </c>
      <c r="B1303" s="1" t="s">
        <v>4890</v>
      </c>
      <c r="C1303" s="1" t="s">
        <v>4891</v>
      </c>
      <c r="D1303" s="1" t="s">
        <v>4892</v>
      </c>
      <c r="E1303" s="1"/>
      <c r="F1303" s="1" t="s">
        <v>417</v>
      </c>
      <c r="G1303" s="1">
        <v>638006</v>
      </c>
      <c r="H1303" s="1">
        <v>41.25</v>
      </c>
    </row>
    <row r="1304" spans="1:8" ht="21.75" customHeight="1">
      <c r="A1304" s="1" t="str">
        <f>"1203320065429547"</f>
        <v>1203320065429547</v>
      </c>
      <c r="B1304" s="1" t="s">
        <v>4893</v>
      </c>
      <c r="C1304" s="1" t="s">
        <v>4894</v>
      </c>
      <c r="D1304" s="1" t="s">
        <v>4895</v>
      </c>
      <c r="E1304" s="1"/>
      <c r="F1304" s="1" t="s">
        <v>417</v>
      </c>
      <c r="G1304" s="1">
        <v>638006</v>
      </c>
      <c r="H1304" s="1">
        <v>3.75</v>
      </c>
    </row>
    <row r="1305" spans="1:8" ht="21.75" customHeight="1">
      <c r="A1305" s="1" t="str">
        <f>"1208420000214994"</f>
        <v>1208420000214994</v>
      </c>
      <c r="B1305" s="1" t="s">
        <v>4896</v>
      </c>
      <c r="C1305" s="1" t="s">
        <v>4897</v>
      </c>
      <c r="D1305" s="1" t="s">
        <v>4898</v>
      </c>
      <c r="E1305" s="1" t="s">
        <v>4899</v>
      </c>
      <c r="F1305" s="1" t="s">
        <v>422</v>
      </c>
      <c r="G1305" s="1">
        <v>638011</v>
      </c>
      <c r="H1305" s="1">
        <v>7.5</v>
      </c>
    </row>
    <row r="1306" spans="1:8" ht="21.75" customHeight="1">
      <c r="A1306" s="1" t="str">
        <f>"IN30226911299553"</f>
        <v>IN30226911299553</v>
      </c>
      <c r="B1306" s="1" t="s">
        <v>4900</v>
      </c>
      <c r="C1306" s="1" t="s">
        <v>4901</v>
      </c>
      <c r="D1306" s="1" t="s">
        <v>4902</v>
      </c>
      <c r="E1306" s="1" t="s">
        <v>422</v>
      </c>
      <c r="F1306" s="1"/>
      <c r="G1306" s="1">
        <v>638011</v>
      </c>
      <c r="H1306" s="1">
        <v>0.75</v>
      </c>
    </row>
    <row r="1307" spans="1:8" ht="21.75" customHeight="1">
      <c r="A1307" s="1" t="str">
        <f>"IN30169612255855"</f>
        <v>IN30169612255855</v>
      </c>
      <c r="B1307" s="1" t="s">
        <v>4903</v>
      </c>
      <c r="C1307" s="1" t="s">
        <v>4904</v>
      </c>
      <c r="D1307" s="1" t="s">
        <v>4905</v>
      </c>
      <c r="E1307" s="1" t="s">
        <v>422</v>
      </c>
      <c r="F1307" s="1"/>
      <c r="G1307" s="1">
        <v>638011</v>
      </c>
      <c r="H1307" s="1">
        <v>135</v>
      </c>
    </row>
    <row r="1308" spans="1:8" ht="21.75" customHeight="1">
      <c r="A1308" s="1" t="str">
        <f>"IN30429523208946"</f>
        <v>IN30429523208946</v>
      </c>
      <c r="B1308" s="1" t="s">
        <v>4906</v>
      </c>
      <c r="C1308" s="1" t="s">
        <v>4907</v>
      </c>
      <c r="D1308" s="1" t="s">
        <v>4908</v>
      </c>
      <c r="E1308" s="1" t="s">
        <v>4909</v>
      </c>
      <c r="F1308" s="1"/>
      <c r="G1308" s="1">
        <v>638056</v>
      </c>
      <c r="H1308" s="1">
        <v>6</v>
      </c>
    </row>
    <row r="1309" spans="1:8" ht="21.75" customHeight="1">
      <c r="A1309" s="1" t="str">
        <f>"IN30429523143067"</f>
        <v>IN30429523143067</v>
      </c>
      <c r="B1309" s="1" t="s">
        <v>4910</v>
      </c>
      <c r="C1309" s="1" t="s">
        <v>4911</v>
      </c>
      <c r="D1309" s="1" t="s">
        <v>4912</v>
      </c>
      <c r="E1309" s="1" t="s">
        <v>4913</v>
      </c>
      <c r="F1309" s="1"/>
      <c r="G1309" s="1">
        <v>638057</v>
      </c>
      <c r="H1309" s="1">
        <v>9</v>
      </c>
    </row>
    <row r="1310" spans="1:8" ht="21.75" customHeight="1">
      <c r="A1310" s="1" t="str">
        <f>"1208160082033381"</f>
        <v>1208160082033381</v>
      </c>
      <c r="B1310" s="1" t="s">
        <v>4914</v>
      </c>
      <c r="C1310" s="1" t="s">
        <v>4915</v>
      </c>
      <c r="D1310" s="1"/>
      <c r="E1310" s="1"/>
      <c r="F1310" s="1" t="s">
        <v>422</v>
      </c>
      <c r="G1310" s="1">
        <v>638102</v>
      </c>
      <c r="H1310" s="1">
        <v>11.25</v>
      </c>
    </row>
    <row r="1311" spans="1:8" ht="21.75" customHeight="1">
      <c r="A1311" s="1" t="str">
        <f>"1208160030908747"</f>
        <v>1208160030908747</v>
      </c>
      <c r="B1311" s="1" t="s">
        <v>4916</v>
      </c>
      <c r="C1311" s="1" t="s">
        <v>4917</v>
      </c>
      <c r="D1311" s="1" t="s">
        <v>4918</v>
      </c>
      <c r="E1311" s="1"/>
      <c r="F1311" s="1" t="s">
        <v>427</v>
      </c>
      <c r="G1311" s="1">
        <v>638103</v>
      </c>
      <c r="H1311" s="1">
        <v>15</v>
      </c>
    </row>
    <row r="1312" spans="1:8" ht="21.75" customHeight="1">
      <c r="A1312" s="1" t="str">
        <f>"1208160082521332"</f>
        <v>1208160082521332</v>
      </c>
      <c r="B1312" s="1" t="s">
        <v>4919</v>
      </c>
      <c r="C1312" s="1" t="s">
        <v>4920</v>
      </c>
      <c r="D1312" s="1"/>
      <c r="E1312" s="1"/>
      <c r="F1312" s="1" t="s">
        <v>427</v>
      </c>
      <c r="G1312" s="1">
        <v>638111</v>
      </c>
      <c r="H1312" s="1">
        <v>6.75</v>
      </c>
    </row>
    <row r="1313" spans="1:8" ht="21.75" customHeight="1">
      <c r="A1313" s="1" t="str">
        <f>"1208160058235856"</f>
        <v>1208160058235856</v>
      </c>
      <c r="B1313" s="1" t="s">
        <v>4921</v>
      </c>
      <c r="C1313" s="1" t="s">
        <v>4922</v>
      </c>
      <c r="D1313" s="1" t="s">
        <v>4923</v>
      </c>
      <c r="E1313" s="1"/>
      <c r="F1313" s="1" t="s">
        <v>422</v>
      </c>
      <c r="G1313" s="1">
        <v>638112</v>
      </c>
      <c r="H1313" s="1">
        <v>11.25</v>
      </c>
    </row>
    <row r="1314" spans="1:8" ht="21.75" customHeight="1">
      <c r="A1314" s="1" t="str">
        <f>"IN30163741015422"</f>
        <v>IN30163741015422</v>
      </c>
      <c r="B1314" s="1" t="s">
        <v>4924</v>
      </c>
      <c r="C1314" s="1" t="s">
        <v>4925</v>
      </c>
      <c r="D1314" s="1" t="s">
        <v>4926</v>
      </c>
      <c r="E1314" s="1" t="s">
        <v>4927</v>
      </c>
      <c r="F1314" s="1"/>
      <c r="G1314" s="1">
        <v>638112</v>
      </c>
      <c r="H1314" s="1">
        <v>11.25</v>
      </c>
    </row>
    <row r="1315" spans="1:8" ht="21.75" customHeight="1">
      <c r="A1315" s="1" t="str">
        <f>"IN30169610759202"</f>
        <v>IN30169610759202</v>
      </c>
      <c r="B1315" s="1" t="s">
        <v>4928</v>
      </c>
      <c r="C1315" s="1" t="s">
        <v>4929</v>
      </c>
      <c r="D1315" s="1" t="s">
        <v>4930</v>
      </c>
      <c r="E1315" s="1" t="s">
        <v>4931</v>
      </c>
      <c r="F1315" s="1"/>
      <c r="G1315" s="1">
        <v>638182</v>
      </c>
      <c r="H1315" s="1">
        <v>6</v>
      </c>
    </row>
    <row r="1316" spans="1:8" ht="21.75" customHeight="1">
      <c r="A1316" s="1" t="str">
        <f>"1208160038284782"</f>
        <v>1208160038284782</v>
      </c>
      <c r="B1316" s="1" t="s">
        <v>4932</v>
      </c>
      <c r="C1316" s="1" t="s">
        <v>4933</v>
      </c>
      <c r="D1316" s="1" t="s">
        <v>4934</v>
      </c>
      <c r="E1316" s="1"/>
      <c r="F1316" s="1" t="s">
        <v>417</v>
      </c>
      <c r="G1316" s="1">
        <v>638183</v>
      </c>
      <c r="H1316" s="1">
        <v>37.5</v>
      </c>
    </row>
    <row r="1317" spans="1:8" ht="21.75" customHeight="1">
      <c r="A1317" s="1" t="str">
        <f>"1208530002483966"</f>
        <v>1208530002483966</v>
      </c>
      <c r="B1317" s="1" t="s">
        <v>4935</v>
      </c>
      <c r="C1317" s="1" t="s">
        <v>4936</v>
      </c>
      <c r="D1317" s="1" t="s">
        <v>4937</v>
      </c>
      <c r="E1317" s="1" t="s">
        <v>422</v>
      </c>
      <c r="F1317" s="1" t="s">
        <v>422</v>
      </c>
      <c r="G1317" s="1">
        <v>638311</v>
      </c>
      <c r="H1317" s="1">
        <v>150</v>
      </c>
    </row>
    <row r="1318" spans="1:8" ht="21.75" customHeight="1">
      <c r="A1318" s="1" t="str">
        <f>"1204920002403110"</f>
        <v>1204920002403110</v>
      </c>
      <c r="B1318" s="1" t="s">
        <v>4938</v>
      </c>
      <c r="C1318" s="1" t="s">
        <v>4939</v>
      </c>
      <c r="D1318" s="1" t="s">
        <v>4940</v>
      </c>
      <c r="E1318" s="1" t="s">
        <v>4941</v>
      </c>
      <c r="F1318" s="1" t="s">
        <v>422</v>
      </c>
      <c r="G1318" s="1">
        <v>638451</v>
      </c>
      <c r="H1318" s="1">
        <v>0.75</v>
      </c>
    </row>
    <row r="1319" spans="1:8" ht="21.75" customHeight="1">
      <c r="A1319" s="1" t="str">
        <f>"IN30429523682063"</f>
        <v>IN30429523682063</v>
      </c>
      <c r="B1319" s="1" t="s">
        <v>4942</v>
      </c>
      <c r="C1319" s="1" t="s">
        <v>4943</v>
      </c>
      <c r="D1319" s="1"/>
      <c r="E1319" s="1" t="s">
        <v>421</v>
      </c>
      <c r="F1319" s="1"/>
      <c r="G1319" s="1">
        <v>638459</v>
      </c>
      <c r="H1319" s="1">
        <v>7.5</v>
      </c>
    </row>
    <row r="1320" spans="1:8" ht="21.75" customHeight="1">
      <c r="A1320" s="1" t="str">
        <f>"IN30429523237679"</f>
        <v>IN30429523237679</v>
      </c>
      <c r="B1320" s="1" t="s">
        <v>4944</v>
      </c>
      <c r="C1320" s="1" t="s">
        <v>4945</v>
      </c>
      <c r="D1320" s="1" t="s">
        <v>4946</v>
      </c>
      <c r="E1320" s="1" t="s">
        <v>421</v>
      </c>
      <c r="F1320" s="1"/>
      <c r="G1320" s="1">
        <v>638461</v>
      </c>
      <c r="H1320" s="1">
        <v>9</v>
      </c>
    </row>
    <row r="1321" spans="1:8" ht="21.75" customHeight="1">
      <c r="A1321" s="1" t="str">
        <f>"1204920002122194"</f>
        <v>1204920002122194</v>
      </c>
      <c r="B1321" s="1" t="s">
        <v>4947</v>
      </c>
      <c r="C1321" s="1" t="s">
        <v>4948</v>
      </c>
      <c r="D1321" s="1" t="s">
        <v>4949</v>
      </c>
      <c r="E1321" s="1" t="s">
        <v>4950</v>
      </c>
      <c r="F1321" s="1" t="s">
        <v>422</v>
      </c>
      <c r="G1321" s="1">
        <v>638505</v>
      </c>
      <c r="H1321" s="1">
        <v>0.75</v>
      </c>
    </row>
    <row r="1322" spans="1:8" ht="21.75" customHeight="1">
      <c r="A1322" s="1" t="str">
        <f>"1208160088696170"</f>
        <v>1208160088696170</v>
      </c>
      <c r="B1322" s="1" t="s">
        <v>4951</v>
      </c>
      <c r="C1322" s="1" t="s">
        <v>4952</v>
      </c>
      <c r="D1322" s="1"/>
      <c r="E1322" s="1"/>
      <c r="F1322" s="1" t="s">
        <v>427</v>
      </c>
      <c r="G1322" s="1">
        <v>638701</v>
      </c>
      <c r="H1322" s="1">
        <v>3.75</v>
      </c>
    </row>
    <row r="1323" spans="1:8" ht="21.75" customHeight="1">
      <c r="A1323" s="1" t="str">
        <f>"1201090019732039"</f>
        <v>1201090019732039</v>
      </c>
      <c r="B1323" s="1" t="s">
        <v>4953</v>
      </c>
      <c r="C1323" s="1" t="s">
        <v>4954</v>
      </c>
      <c r="D1323" s="1" t="s">
        <v>4955</v>
      </c>
      <c r="E1323" s="1" t="s">
        <v>4956</v>
      </c>
      <c r="F1323" s="1" t="s">
        <v>4957</v>
      </c>
      <c r="G1323" s="1">
        <v>638701</v>
      </c>
      <c r="H1323" s="1">
        <v>30</v>
      </c>
    </row>
    <row r="1324" spans="1:8" ht="21.75" customHeight="1">
      <c r="A1324" s="1" t="str">
        <f>"1208160009831426"</f>
        <v>1208160009831426</v>
      </c>
      <c r="B1324" s="1" t="s">
        <v>4958</v>
      </c>
      <c r="C1324" s="1" t="s">
        <v>4959</v>
      </c>
      <c r="D1324" s="1" t="s">
        <v>4960</v>
      </c>
      <c r="E1324" s="1" t="s">
        <v>4961</v>
      </c>
      <c r="F1324" s="1" t="s">
        <v>4625</v>
      </c>
      <c r="G1324" s="1">
        <v>639002</v>
      </c>
      <c r="H1324" s="1">
        <v>78.75</v>
      </c>
    </row>
    <row r="1325" spans="1:8" ht="21.75" customHeight="1">
      <c r="A1325" s="1" t="str">
        <f>"IN30021423937901"</f>
        <v>IN30021423937901</v>
      </c>
      <c r="B1325" s="1" t="s">
        <v>4962</v>
      </c>
      <c r="C1325" s="1" t="s">
        <v>4963</v>
      </c>
      <c r="D1325" s="1" t="s">
        <v>4964</v>
      </c>
      <c r="E1325" s="1" t="s">
        <v>4965</v>
      </c>
      <c r="F1325" s="1"/>
      <c r="G1325" s="1">
        <v>639006</v>
      </c>
      <c r="H1325" s="1">
        <v>18.75</v>
      </c>
    </row>
    <row r="1326" spans="1:8" ht="21.75" customHeight="1">
      <c r="A1326" s="1" t="str">
        <f>"1201090022151990"</f>
        <v>1201090022151990</v>
      </c>
      <c r="B1326" s="1" t="s">
        <v>4966</v>
      </c>
      <c r="C1326" s="1" t="s">
        <v>4967</v>
      </c>
      <c r="D1326" s="1" t="s">
        <v>4968</v>
      </c>
      <c r="E1326" s="1" t="s">
        <v>4969</v>
      </c>
      <c r="F1326" s="1" t="s">
        <v>4625</v>
      </c>
      <c r="G1326" s="1">
        <v>639105</v>
      </c>
      <c r="H1326" s="1">
        <v>26.25</v>
      </c>
    </row>
    <row r="1327" spans="1:8" ht="21.75" customHeight="1">
      <c r="A1327" s="1" t="str">
        <f>"1208160089819691"</f>
        <v>1208160089819691</v>
      </c>
      <c r="B1327" s="1" t="s">
        <v>4970</v>
      </c>
      <c r="C1327" s="1" t="s">
        <v>4971</v>
      </c>
      <c r="D1327" s="1" t="s">
        <v>4972</v>
      </c>
      <c r="E1327" s="1"/>
      <c r="F1327" s="1" t="s">
        <v>4625</v>
      </c>
      <c r="G1327" s="1">
        <v>639105</v>
      </c>
      <c r="H1327" s="1">
        <v>24.75</v>
      </c>
    </row>
    <row r="1328" spans="1:8" ht="21.75" customHeight="1">
      <c r="A1328" s="1" t="str">
        <f>"IN30429526335746"</f>
        <v>IN30429526335746</v>
      </c>
      <c r="B1328" s="1" t="s">
        <v>4973</v>
      </c>
      <c r="C1328" s="1" t="s">
        <v>4974</v>
      </c>
      <c r="D1328" s="1" t="s">
        <v>4975</v>
      </c>
      <c r="E1328" s="1" t="s">
        <v>4976</v>
      </c>
      <c r="F1328" s="1"/>
      <c r="G1328" s="1">
        <v>639110</v>
      </c>
      <c r="H1328" s="1">
        <v>0.75</v>
      </c>
    </row>
    <row r="1329" spans="1:8" ht="21.75" customHeight="1">
      <c r="A1329" s="1" t="str">
        <f>"1204450000509894"</f>
        <v>1204450000509894</v>
      </c>
      <c r="B1329" s="1" t="s">
        <v>4977</v>
      </c>
      <c r="C1329" s="1" t="s">
        <v>4978</v>
      </c>
      <c r="D1329" s="1" t="s">
        <v>4979</v>
      </c>
      <c r="E1329" s="1" t="s">
        <v>4980</v>
      </c>
      <c r="F1329" s="1" t="s">
        <v>33</v>
      </c>
      <c r="G1329" s="1">
        <v>641001</v>
      </c>
      <c r="H1329" s="1">
        <v>7.5</v>
      </c>
    </row>
    <row r="1330" spans="1:8" ht="21.75" customHeight="1">
      <c r="A1330" s="1" t="str">
        <f>"IN30021424076152"</f>
        <v>IN30021424076152</v>
      </c>
      <c r="B1330" s="1" t="s">
        <v>4981</v>
      </c>
      <c r="C1330" s="1" t="s">
        <v>4982</v>
      </c>
      <c r="D1330" s="1"/>
      <c r="E1330" s="1" t="s">
        <v>4983</v>
      </c>
      <c r="F1330" s="1"/>
      <c r="G1330" s="1">
        <v>641005</v>
      </c>
      <c r="H1330" s="1">
        <v>4.5</v>
      </c>
    </row>
    <row r="1331" spans="1:8" ht="21.75" customHeight="1">
      <c r="A1331" s="1" t="str">
        <f>"1208160059697074"</f>
        <v>1208160059697074</v>
      </c>
      <c r="B1331" s="1" t="s">
        <v>4984</v>
      </c>
      <c r="C1331" s="1" t="s">
        <v>4985</v>
      </c>
      <c r="D1331" s="1" t="s">
        <v>4986</v>
      </c>
      <c r="E1331" s="1"/>
      <c r="F1331" s="1" t="s">
        <v>33</v>
      </c>
      <c r="G1331" s="1">
        <v>641006</v>
      </c>
      <c r="H1331" s="1">
        <v>7.5</v>
      </c>
    </row>
    <row r="1332" spans="1:8" ht="21.75" customHeight="1">
      <c r="A1332" s="1" t="str">
        <f>"IN30131321903154"</f>
        <v>IN30131321903154</v>
      </c>
      <c r="B1332" s="1" t="s">
        <v>4987</v>
      </c>
      <c r="C1332" s="1" t="s">
        <v>4988</v>
      </c>
      <c r="D1332" s="1" t="s">
        <v>4989</v>
      </c>
      <c r="E1332" s="1" t="s">
        <v>4990</v>
      </c>
      <c r="F1332" s="1"/>
      <c r="G1332" s="1">
        <v>641017</v>
      </c>
      <c r="H1332" s="1">
        <v>18.75</v>
      </c>
    </row>
    <row r="1333" spans="1:8" ht="21.75" customHeight="1">
      <c r="A1333" s="1" t="str">
        <f>"1208160027706042"</f>
        <v>1208160027706042</v>
      </c>
      <c r="B1333" s="1" t="s">
        <v>4991</v>
      </c>
      <c r="C1333" s="1" t="s">
        <v>4992</v>
      </c>
      <c r="D1333" s="1" t="s">
        <v>4993</v>
      </c>
      <c r="E1333" s="1"/>
      <c r="F1333" s="1" t="s">
        <v>33</v>
      </c>
      <c r="G1333" s="1">
        <v>641027</v>
      </c>
      <c r="H1333" s="1">
        <v>5.25</v>
      </c>
    </row>
    <row r="1334" spans="1:8" ht="21.75" customHeight="1">
      <c r="A1334" s="1" t="str">
        <f>"1208160005605339"</f>
        <v>1208160005605339</v>
      </c>
      <c r="B1334" s="1" t="s">
        <v>4994</v>
      </c>
      <c r="C1334" s="1" t="s">
        <v>4995</v>
      </c>
      <c r="D1334" s="1" t="s">
        <v>4996</v>
      </c>
      <c r="E1334" s="1" t="s">
        <v>4997</v>
      </c>
      <c r="F1334" s="1" t="s">
        <v>33</v>
      </c>
      <c r="G1334" s="1">
        <v>641027</v>
      </c>
      <c r="H1334" s="1">
        <v>375</v>
      </c>
    </row>
    <row r="1335" spans="1:8" ht="21.75" customHeight="1">
      <c r="A1335" s="1" t="str">
        <f>"IN30021417688363"</f>
        <v>IN30021417688363</v>
      </c>
      <c r="B1335" s="1" t="s">
        <v>4998</v>
      </c>
      <c r="C1335" s="1" t="s">
        <v>4999</v>
      </c>
      <c r="D1335" s="1" t="s">
        <v>5000</v>
      </c>
      <c r="E1335" s="1" t="s">
        <v>5001</v>
      </c>
      <c r="F1335" s="1"/>
      <c r="G1335" s="1">
        <v>641029</v>
      </c>
      <c r="H1335" s="1">
        <v>3</v>
      </c>
    </row>
    <row r="1336" spans="1:8" ht="21.75" customHeight="1">
      <c r="A1336" s="1" t="str">
        <f>"IN30389210049357"</f>
        <v>IN30389210049357</v>
      </c>
      <c r="B1336" s="1" t="s">
        <v>5002</v>
      </c>
      <c r="C1336" s="1" t="s">
        <v>5003</v>
      </c>
      <c r="D1336" s="1" t="s">
        <v>5004</v>
      </c>
      <c r="E1336" s="1" t="s">
        <v>5005</v>
      </c>
      <c r="F1336" s="1"/>
      <c r="G1336" s="1">
        <v>641109</v>
      </c>
      <c r="H1336" s="1">
        <v>3.75</v>
      </c>
    </row>
    <row r="1337" spans="1:8" ht="21.75" customHeight="1">
      <c r="A1337" s="1" t="str">
        <f>"1203320009880981"</f>
        <v>1203320009880981</v>
      </c>
      <c r="B1337" s="1" t="s">
        <v>5006</v>
      </c>
      <c r="C1337" s="1" t="s">
        <v>5007</v>
      </c>
      <c r="D1337" s="1" t="s">
        <v>5008</v>
      </c>
      <c r="E1337" s="1" t="s">
        <v>33</v>
      </c>
      <c r="F1337" s="1" t="s">
        <v>33</v>
      </c>
      <c r="G1337" s="1">
        <v>641111</v>
      </c>
      <c r="H1337" s="1">
        <v>11.25</v>
      </c>
    </row>
    <row r="1338" spans="1:8" ht="21.75" customHeight="1">
      <c r="A1338" s="1" t="str">
        <f>"IN30429528541244"</f>
        <v>IN30429528541244</v>
      </c>
      <c r="B1338" s="1" t="s">
        <v>5009</v>
      </c>
      <c r="C1338" s="1" t="s">
        <v>5010</v>
      </c>
      <c r="D1338" s="1" t="s">
        <v>5011</v>
      </c>
      <c r="E1338" s="1" t="s">
        <v>5001</v>
      </c>
      <c r="F1338" s="1"/>
      <c r="G1338" s="1">
        <v>641302</v>
      </c>
      <c r="H1338" s="1">
        <v>0.75</v>
      </c>
    </row>
    <row r="1339" spans="1:8" ht="21.75" customHeight="1">
      <c r="A1339" s="1" t="str">
        <f>"IN30429514736907"</f>
        <v>IN30429514736907</v>
      </c>
      <c r="B1339" s="1" t="s">
        <v>5012</v>
      </c>
      <c r="C1339" s="1" t="s">
        <v>5013</v>
      </c>
      <c r="D1339" s="1" t="s">
        <v>5014</v>
      </c>
      <c r="E1339" s="1" t="s">
        <v>5015</v>
      </c>
      <c r="F1339" s="1"/>
      <c r="G1339" s="1">
        <v>641407</v>
      </c>
      <c r="H1339" s="1">
        <v>0.75</v>
      </c>
    </row>
    <row r="1340" spans="1:8" ht="21.75" customHeight="1">
      <c r="A1340" s="1" t="str">
        <f>"IN30429514762495"</f>
        <v>IN30429514762495</v>
      </c>
      <c r="B1340" s="1" t="s">
        <v>5016</v>
      </c>
      <c r="C1340" s="1" t="s">
        <v>5017</v>
      </c>
      <c r="D1340" s="1" t="s">
        <v>5018</v>
      </c>
      <c r="E1340" s="1" t="s">
        <v>5019</v>
      </c>
      <c r="F1340" s="1"/>
      <c r="G1340" s="1">
        <v>641602</v>
      </c>
      <c r="H1340" s="1">
        <v>7.5</v>
      </c>
    </row>
    <row r="1341" spans="1:8" ht="21.75" customHeight="1">
      <c r="A1341" s="1" t="str">
        <f>"1208160038492702"</f>
        <v>1208160038492702</v>
      </c>
      <c r="B1341" s="1" t="s">
        <v>5020</v>
      </c>
      <c r="C1341" s="1" t="s">
        <v>5021</v>
      </c>
      <c r="D1341" s="1" t="s">
        <v>5022</v>
      </c>
      <c r="E1341" s="1"/>
      <c r="F1341" s="1" t="s">
        <v>427</v>
      </c>
      <c r="G1341" s="1">
        <v>641687</v>
      </c>
      <c r="H1341" s="1">
        <v>37.5</v>
      </c>
    </row>
    <row r="1342" spans="1:8" ht="21.75" customHeight="1">
      <c r="A1342" s="1" t="str">
        <f>"1208250020716377"</f>
        <v>1208250020716377</v>
      </c>
      <c r="B1342" s="1" t="s">
        <v>5023</v>
      </c>
      <c r="C1342" s="1" t="s">
        <v>5024</v>
      </c>
      <c r="D1342" s="1" t="s">
        <v>5025</v>
      </c>
      <c r="E1342" s="1" t="s">
        <v>33</v>
      </c>
      <c r="F1342" s="1" t="s">
        <v>33</v>
      </c>
      <c r="G1342" s="1">
        <v>642001</v>
      </c>
      <c r="H1342" s="1">
        <v>3.75</v>
      </c>
    </row>
    <row r="1343" spans="1:8" ht="21.75" customHeight="1">
      <c r="A1343" s="1" t="str">
        <f>"1204920006034291"</f>
        <v>1204920006034291</v>
      </c>
      <c r="B1343" s="1" t="s">
        <v>5027</v>
      </c>
      <c r="C1343" s="1" t="s">
        <v>5028</v>
      </c>
      <c r="D1343" s="1" t="s">
        <v>5029</v>
      </c>
      <c r="E1343" s="1" t="s">
        <v>5030</v>
      </c>
      <c r="F1343" s="1" t="s">
        <v>33</v>
      </c>
      <c r="G1343" s="1">
        <v>642126</v>
      </c>
      <c r="H1343" s="1">
        <v>0.75</v>
      </c>
    </row>
    <row r="1344" spans="1:8" ht="21.75" customHeight="1">
      <c r="A1344" s="1" t="str">
        <f>"IN30429526439066"</f>
        <v>IN30429526439066</v>
      </c>
      <c r="B1344" s="1" t="s">
        <v>5031</v>
      </c>
      <c r="C1344" s="1" t="s">
        <v>5032</v>
      </c>
      <c r="D1344" s="1" t="s">
        <v>3845</v>
      </c>
      <c r="E1344" s="1" t="s">
        <v>5033</v>
      </c>
      <c r="F1344" s="1"/>
      <c r="G1344" s="1">
        <v>643007</v>
      </c>
      <c r="H1344" s="1">
        <v>7.5</v>
      </c>
    </row>
    <row r="1345" spans="1:8" ht="21.75" customHeight="1">
      <c r="A1345" s="1" t="str">
        <f>"1203320023700687"</f>
        <v>1203320023700687</v>
      </c>
      <c r="B1345" s="1" t="s">
        <v>5035</v>
      </c>
      <c r="C1345" s="1" t="s">
        <v>5036</v>
      </c>
      <c r="D1345" s="1" t="s">
        <v>5037</v>
      </c>
      <c r="E1345" s="1" t="s">
        <v>5038</v>
      </c>
      <c r="F1345" s="1" t="s">
        <v>5034</v>
      </c>
      <c r="G1345" s="1">
        <v>643239</v>
      </c>
      <c r="H1345" s="1">
        <v>3</v>
      </c>
    </row>
    <row r="1346" spans="1:8" ht="21.75" customHeight="1">
      <c r="A1346" s="1" t="str">
        <f>"1203280000469350"</f>
        <v>1203280000469350</v>
      </c>
      <c r="B1346" s="1" t="s">
        <v>5040</v>
      </c>
      <c r="C1346" s="1" t="s">
        <v>5041</v>
      </c>
      <c r="D1346" s="1" t="s">
        <v>5042</v>
      </c>
      <c r="E1346" s="1" t="s">
        <v>5043</v>
      </c>
      <c r="F1346" s="1" t="s">
        <v>5039</v>
      </c>
      <c r="G1346" s="1">
        <v>670306</v>
      </c>
      <c r="H1346" s="1">
        <v>0.75</v>
      </c>
    </row>
    <row r="1347" spans="1:8" ht="21.75" customHeight="1">
      <c r="A1347" s="1" t="str">
        <f>"IN30021422832896"</f>
        <v>IN30021422832896</v>
      </c>
      <c r="B1347" s="1" t="s">
        <v>5044</v>
      </c>
      <c r="C1347" s="1" t="s">
        <v>5045</v>
      </c>
      <c r="D1347" s="1"/>
      <c r="E1347" s="1" t="s">
        <v>5046</v>
      </c>
      <c r="F1347" s="1"/>
      <c r="G1347" s="1">
        <v>670502</v>
      </c>
      <c r="H1347" s="1">
        <v>18.75</v>
      </c>
    </row>
    <row r="1348" spans="1:8" ht="21.75" customHeight="1">
      <c r="A1348" s="1" t="str">
        <f>"1208180019455060"</f>
        <v>1208180019455060</v>
      </c>
      <c r="B1348" s="1" t="s">
        <v>5047</v>
      </c>
      <c r="C1348" s="1" t="s">
        <v>5048</v>
      </c>
      <c r="D1348" s="1" t="s">
        <v>5049</v>
      </c>
      <c r="E1348" s="1"/>
      <c r="F1348" s="1" t="s">
        <v>5039</v>
      </c>
      <c r="G1348" s="1">
        <v>670613</v>
      </c>
      <c r="H1348" s="1">
        <v>3.75</v>
      </c>
    </row>
    <row r="1349" spans="1:8" ht="21.75" customHeight="1">
      <c r="A1349" s="1" t="str">
        <f>"1208160028238981"</f>
        <v>1208160028238981</v>
      </c>
      <c r="B1349" s="1" t="s">
        <v>5050</v>
      </c>
      <c r="C1349" s="1" t="s">
        <v>5051</v>
      </c>
      <c r="D1349" s="1" t="s">
        <v>5052</v>
      </c>
      <c r="E1349" s="1"/>
      <c r="F1349" s="1" t="s">
        <v>5039</v>
      </c>
      <c r="G1349" s="1">
        <v>670633</v>
      </c>
      <c r="H1349" s="1">
        <v>187.5</v>
      </c>
    </row>
    <row r="1350" spans="1:8" ht="21.75" customHeight="1">
      <c r="A1350" s="1" t="str">
        <f>"1204920001976453"</f>
        <v>1204920001976453</v>
      </c>
      <c r="B1350" s="1" t="s">
        <v>5053</v>
      </c>
      <c r="C1350" s="1" t="s">
        <v>5054</v>
      </c>
      <c r="D1350" s="1" t="s">
        <v>5055</v>
      </c>
      <c r="E1350" s="1" t="s">
        <v>410</v>
      </c>
      <c r="F1350" s="1" t="s">
        <v>5039</v>
      </c>
      <c r="G1350" s="1">
        <v>670691</v>
      </c>
      <c r="H1350" s="1">
        <v>0.75</v>
      </c>
    </row>
    <row r="1351" spans="1:8" ht="21.75" customHeight="1">
      <c r="A1351" s="1" t="str">
        <f>"IN30181110259032"</f>
        <v>IN30181110259032</v>
      </c>
      <c r="B1351" s="1" t="s">
        <v>5056</v>
      </c>
      <c r="C1351" s="1" t="s">
        <v>5057</v>
      </c>
      <c r="D1351" s="1" t="s">
        <v>5058</v>
      </c>
      <c r="E1351" s="1" t="s">
        <v>5039</v>
      </c>
      <c r="F1351" s="1"/>
      <c r="G1351" s="1">
        <v>670692</v>
      </c>
      <c r="H1351" s="1">
        <v>67.5</v>
      </c>
    </row>
    <row r="1352" spans="1:8" ht="21.75" customHeight="1">
      <c r="A1352" s="1" t="str">
        <f>"1208180008179741"</f>
        <v>1208180008179741</v>
      </c>
      <c r="B1352" s="1" t="s">
        <v>5059</v>
      </c>
      <c r="C1352" s="1" t="s">
        <v>5060</v>
      </c>
      <c r="D1352" s="1" t="s">
        <v>5061</v>
      </c>
      <c r="E1352" s="1"/>
      <c r="F1352" s="1" t="s">
        <v>431</v>
      </c>
      <c r="G1352" s="1">
        <v>671321</v>
      </c>
      <c r="H1352" s="1">
        <v>3</v>
      </c>
    </row>
    <row r="1353" spans="1:8" ht="21.75" customHeight="1">
      <c r="A1353" s="1" t="str">
        <f>"1204920002526836"</f>
        <v>1204920002526836</v>
      </c>
      <c r="B1353" s="1" t="s">
        <v>5062</v>
      </c>
      <c r="C1353" s="1" t="s">
        <v>5063</v>
      </c>
      <c r="D1353" s="1" t="s">
        <v>5064</v>
      </c>
      <c r="E1353" s="1" t="s">
        <v>410</v>
      </c>
      <c r="F1353" s="1" t="s">
        <v>443</v>
      </c>
      <c r="G1353" s="1">
        <v>673001</v>
      </c>
      <c r="H1353" s="1">
        <v>0.75</v>
      </c>
    </row>
    <row r="1354" spans="1:8" ht="21.75" customHeight="1">
      <c r="A1354" s="1" t="str">
        <f>"IN30429526493210"</f>
        <v>IN30429526493210</v>
      </c>
      <c r="B1354" s="1" t="s">
        <v>5065</v>
      </c>
      <c r="C1354" s="1" t="s">
        <v>5066</v>
      </c>
      <c r="D1354" s="1" t="s">
        <v>5067</v>
      </c>
      <c r="E1354" s="1" t="s">
        <v>5068</v>
      </c>
      <c r="F1354" s="1"/>
      <c r="G1354" s="1">
        <v>673004</v>
      </c>
      <c r="H1354" s="1">
        <v>3.75</v>
      </c>
    </row>
    <row r="1355" spans="1:8" ht="21.75" customHeight="1">
      <c r="A1355" s="1" t="str">
        <f>"IN30189510168443"</f>
        <v>IN30189510168443</v>
      </c>
      <c r="B1355" s="1" t="s">
        <v>5069</v>
      </c>
      <c r="C1355" s="1" t="s">
        <v>5070</v>
      </c>
      <c r="D1355" s="1" t="s">
        <v>5071</v>
      </c>
      <c r="E1355" s="1" t="s">
        <v>5072</v>
      </c>
      <c r="F1355" s="1"/>
      <c r="G1355" s="1">
        <v>673007</v>
      </c>
      <c r="H1355" s="1">
        <v>37.5</v>
      </c>
    </row>
    <row r="1356" spans="1:8" ht="21.75" customHeight="1">
      <c r="A1356" s="1" t="str">
        <f>"IN30023913354814"</f>
        <v>IN30023913354814</v>
      </c>
      <c r="B1356" s="1" t="s">
        <v>5073</v>
      </c>
      <c r="C1356" s="1" t="s">
        <v>5074</v>
      </c>
      <c r="D1356" s="1" t="s">
        <v>5075</v>
      </c>
      <c r="E1356" s="1" t="s">
        <v>5076</v>
      </c>
      <c r="F1356" s="1"/>
      <c r="G1356" s="1">
        <v>673017</v>
      </c>
      <c r="H1356" s="1">
        <v>75</v>
      </c>
    </row>
    <row r="1357" spans="1:8" ht="21.75" customHeight="1">
      <c r="A1357" s="1" t="str">
        <f>"1204470002761825"</f>
        <v>1204470002761825</v>
      </c>
      <c r="B1357" s="1" t="s">
        <v>5077</v>
      </c>
      <c r="C1357" s="1" t="s">
        <v>5078</v>
      </c>
      <c r="D1357" s="1" t="s">
        <v>5079</v>
      </c>
      <c r="E1357" s="1"/>
      <c r="F1357" s="1" t="s">
        <v>443</v>
      </c>
      <c r="G1357" s="1">
        <v>673019</v>
      </c>
      <c r="H1357" s="1">
        <v>71.25</v>
      </c>
    </row>
    <row r="1358" spans="1:8" ht="21.75" customHeight="1">
      <c r="A1358" s="1" t="str">
        <f>"1201090012678058"</f>
        <v>1201090012678058</v>
      </c>
      <c r="B1358" s="1" t="s">
        <v>5080</v>
      </c>
      <c r="C1358" s="1" t="s">
        <v>5081</v>
      </c>
      <c r="D1358" s="1" t="s">
        <v>5082</v>
      </c>
      <c r="E1358" s="1" t="s">
        <v>5083</v>
      </c>
      <c r="F1358" s="1" t="s">
        <v>443</v>
      </c>
      <c r="G1358" s="1">
        <v>673304</v>
      </c>
      <c r="H1358" s="1">
        <v>39</v>
      </c>
    </row>
    <row r="1359" spans="1:8" ht="21.75" customHeight="1">
      <c r="A1359" s="1" t="str">
        <f>"IN30226913514138"</f>
        <v>IN30226913514138</v>
      </c>
      <c r="B1359" s="1" t="s">
        <v>5084</v>
      </c>
      <c r="C1359" s="1" t="s">
        <v>5085</v>
      </c>
      <c r="D1359" s="1" t="s">
        <v>980</v>
      </c>
      <c r="E1359" s="1" t="s">
        <v>509</v>
      </c>
      <c r="F1359" s="1"/>
      <c r="G1359" s="1">
        <v>673592</v>
      </c>
      <c r="H1359" s="1">
        <v>51</v>
      </c>
    </row>
    <row r="1360" spans="1:8" ht="21.75" customHeight="1">
      <c r="A1360" s="1" t="str">
        <f>"IN30021434274118"</f>
        <v>IN30021434274118</v>
      </c>
      <c r="B1360" s="1" t="s">
        <v>5086</v>
      </c>
      <c r="C1360" s="1" t="s">
        <v>5087</v>
      </c>
      <c r="D1360" s="1" t="s">
        <v>5088</v>
      </c>
      <c r="E1360" s="1" t="s">
        <v>5089</v>
      </c>
      <c r="F1360" s="1"/>
      <c r="G1360" s="1">
        <v>676551</v>
      </c>
      <c r="H1360" s="1">
        <v>150</v>
      </c>
    </row>
    <row r="1361" spans="1:8" ht="21.75" customHeight="1">
      <c r="A1361" s="1" t="str">
        <f>"1203320006156892"</f>
        <v>1203320006156892</v>
      </c>
      <c r="B1361" s="1" t="s">
        <v>5090</v>
      </c>
      <c r="C1361" s="1" t="s">
        <v>5091</v>
      </c>
      <c r="D1361" s="1" t="s">
        <v>5092</v>
      </c>
      <c r="E1361" s="1" t="s">
        <v>5093</v>
      </c>
      <c r="F1361" s="1" t="s">
        <v>5094</v>
      </c>
      <c r="G1361" s="1">
        <v>678102</v>
      </c>
      <c r="H1361" s="1">
        <v>34.5</v>
      </c>
    </row>
    <row r="1362" spans="1:8" ht="21.75" customHeight="1">
      <c r="A1362" s="1" t="str">
        <f>"IN30429528597133"</f>
        <v>IN30429528597133</v>
      </c>
      <c r="B1362" s="1" t="s">
        <v>5095</v>
      </c>
      <c r="C1362" s="1" t="s">
        <v>5096</v>
      </c>
      <c r="D1362" s="1" t="s">
        <v>5097</v>
      </c>
      <c r="E1362" s="1" t="s">
        <v>5098</v>
      </c>
      <c r="F1362" s="1"/>
      <c r="G1362" s="1">
        <v>678506</v>
      </c>
      <c r="H1362" s="1">
        <v>8.25</v>
      </c>
    </row>
    <row r="1363" spans="1:8" ht="21.75" customHeight="1">
      <c r="A1363" s="1" t="str">
        <f>"1203320007062140"</f>
        <v>1203320007062140</v>
      </c>
      <c r="B1363" s="1" t="s">
        <v>5099</v>
      </c>
      <c r="C1363" s="1" t="s">
        <v>5100</v>
      </c>
      <c r="D1363" s="1" t="s">
        <v>5101</v>
      </c>
      <c r="E1363" s="1"/>
      <c r="F1363" s="1" t="s">
        <v>462</v>
      </c>
      <c r="G1363" s="1">
        <v>678507</v>
      </c>
      <c r="H1363" s="1">
        <v>22.5</v>
      </c>
    </row>
    <row r="1364" spans="1:8" ht="21.75" customHeight="1">
      <c r="A1364" s="1" t="str">
        <f>"IN30023915504647"</f>
        <v>IN30023915504647</v>
      </c>
      <c r="B1364" s="1" t="s">
        <v>5102</v>
      </c>
      <c r="C1364" s="1" t="s">
        <v>5103</v>
      </c>
      <c r="D1364" s="1" t="s">
        <v>5104</v>
      </c>
      <c r="E1364" s="1" t="s">
        <v>5105</v>
      </c>
      <c r="F1364" s="1"/>
      <c r="G1364" s="1">
        <v>678508</v>
      </c>
      <c r="H1364" s="1">
        <v>5.5</v>
      </c>
    </row>
    <row r="1365" spans="1:8" ht="21.75" customHeight="1">
      <c r="A1365" s="1" t="str">
        <f>"1205670001455028"</f>
        <v>1205670001455028</v>
      </c>
      <c r="B1365" s="1" t="s">
        <v>5106</v>
      </c>
      <c r="C1365" s="1" t="s">
        <v>5107</v>
      </c>
      <c r="D1365" s="1" t="s">
        <v>5108</v>
      </c>
      <c r="E1365" s="1" t="s">
        <v>5109</v>
      </c>
      <c r="F1365" s="1" t="s">
        <v>462</v>
      </c>
      <c r="G1365" s="1">
        <v>678532</v>
      </c>
      <c r="H1365" s="1">
        <v>37.5</v>
      </c>
    </row>
    <row r="1366" spans="1:8" ht="21.75" customHeight="1">
      <c r="A1366" s="1" t="str">
        <f>"IN30051313868436"</f>
        <v>IN30051313868436</v>
      </c>
      <c r="B1366" s="1" t="s">
        <v>5110</v>
      </c>
      <c r="C1366" s="1" t="s">
        <v>5111</v>
      </c>
      <c r="D1366" s="1" t="s">
        <v>5112</v>
      </c>
      <c r="E1366" s="1" t="s">
        <v>5113</v>
      </c>
      <c r="F1366" s="1"/>
      <c r="G1366" s="1">
        <v>678543</v>
      </c>
      <c r="H1366" s="1">
        <v>69</v>
      </c>
    </row>
    <row r="1367" spans="1:8" ht="21.75" customHeight="1">
      <c r="A1367" s="1" t="str">
        <f>"IN30023916295185"</f>
        <v>IN30023916295185</v>
      </c>
      <c r="B1367" s="1" t="s">
        <v>5114</v>
      </c>
      <c r="C1367" s="1" t="s">
        <v>5115</v>
      </c>
      <c r="D1367" s="1" t="s">
        <v>5116</v>
      </c>
      <c r="E1367" s="1" t="s">
        <v>5117</v>
      </c>
      <c r="F1367" s="1"/>
      <c r="G1367" s="1">
        <v>678681</v>
      </c>
      <c r="H1367" s="1">
        <v>37.5</v>
      </c>
    </row>
    <row r="1368" spans="1:8" ht="21.75" customHeight="1">
      <c r="A1368" s="1" t="str">
        <f>"1202980000313218"</f>
        <v>1202980000313218</v>
      </c>
      <c r="B1368" s="1" t="s">
        <v>5118</v>
      </c>
      <c r="C1368" s="1" t="s">
        <v>5119</v>
      </c>
      <c r="D1368" s="1" t="s">
        <v>5120</v>
      </c>
      <c r="E1368" s="1" t="s">
        <v>457</v>
      </c>
      <c r="F1368" s="1" t="s">
        <v>447</v>
      </c>
      <c r="G1368" s="1">
        <v>679322</v>
      </c>
      <c r="H1368" s="1">
        <v>37.5</v>
      </c>
    </row>
    <row r="1369" spans="1:8" ht="21.75" customHeight="1">
      <c r="A1369" s="1" t="str">
        <f>"IN30429524128591"</f>
        <v>IN30429524128591</v>
      </c>
      <c r="B1369" s="1" t="s">
        <v>5121</v>
      </c>
      <c r="C1369" s="1" t="s">
        <v>5122</v>
      </c>
      <c r="D1369" s="1" t="s">
        <v>5123</v>
      </c>
      <c r="E1369" s="1" t="s">
        <v>5124</v>
      </c>
      <c r="F1369" s="1"/>
      <c r="G1369" s="1">
        <v>679532</v>
      </c>
      <c r="H1369" s="1">
        <v>0.75</v>
      </c>
    </row>
    <row r="1370" spans="1:8" ht="21.75" customHeight="1">
      <c r="A1370" s="1" t="str">
        <f>"1203280000312526"</f>
        <v>1203280000312526</v>
      </c>
      <c r="B1370" s="1" t="s">
        <v>4364</v>
      </c>
      <c r="C1370" s="1" t="s">
        <v>5125</v>
      </c>
      <c r="D1370" s="1" t="s">
        <v>5126</v>
      </c>
      <c r="E1370" s="1" t="s">
        <v>5127</v>
      </c>
      <c r="F1370" s="1" t="s">
        <v>462</v>
      </c>
      <c r="G1370" s="1">
        <v>679533</v>
      </c>
      <c r="H1370" s="1">
        <v>35.25</v>
      </c>
    </row>
    <row r="1371" spans="1:8" ht="21.75" customHeight="1">
      <c r="A1371" s="1" t="str">
        <f>"IN30023916352003"</f>
        <v>IN30023916352003</v>
      </c>
      <c r="B1371" s="1" t="s">
        <v>5129</v>
      </c>
      <c r="C1371" s="1" t="s">
        <v>5130</v>
      </c>
      <c r="D1371" s="1" t="s">
        <v>5131</v>
      </c>
      <c r="E1371" s="1" t="s">
        <v>5132</v>
      </c>
      <c r="F1371" s="1"/>
      <c r="G1371" s="1">
        <v>679562</v>
      </c>
      <c r="H1371" s="1">
        <v>2.25</v>
      </c>
    </row>
    <row r="1372" spans="1:8" ht="21.75" customHeight="1">
      <c r="A1372" s="1" t="str">
        <f>"IN30023910455235"</f>
        <v>IN30023910455235</v>
      </c>
      <c r="B1372" s="1" t="s">
        <v>5133</v>
      </c>
      <c r="C1372" s="1" t="s">
        <v>5134</v>
      </c>
      <c r="D1372" s="1" t="s">
        <v>5135</v>
      </c>
      <c r="E1372" s="1" t="s">
        <v>5136</v>
      </c>
      <c r="F1372" s="1"/>
      <c r="G1372" s="1">
        <v>679571</v>
      </c>
      <c r="H1372" s="1">
        <v>75</v>
      </c>
    </row>
    <row r="1373" spans="1:8" ht="21.75" customHeight="1">
      <c r="A1373" s="1" t="str">
        <f>"IN30268710022103"</f>
        <v>IN30268710022103</v>
      </c>
      <c r="B1373" s="1" t="s">
        <v>5137</v>
      </c>
      <c r="C1373" s="1" t="s">
        <v>5138</v>
      </c>
      <c r="D1373" s="1" t="s">
        <v>5139</v>
      </c>
      <c r="E1373" s="1" t="s">
        <v>5140</v>
      </c>
      <c r="F1373" s="1"/>
      <c r="G1373" s="1">
        <v>680002</v>
      </c>
      <c r="H1373" s="1">
        <v>150</v>
      </c>
    </row>
    <row r="1374" spans="1:8" ht="21.75" customHeight="1">
      <c r="A1374" s="1" t="str">
        <f>"1204760000242668"</f>
        <v>1204760000242668</v>
      </c>
      <c r="B1374" s="1" t="s">
        <v>5141</v>
      </c>
      <c r="C1374" s="1" t="s">
        <v>5142</v>
      </c>
      <c r="D1374" s="1" t="s">
        <v>5143</v>
      </c>
      <c r="E1374" s="1"/>
      <c r="F1374" s="1" t="s">
        <v>42</v>
      </c>
      <c r="G1374" s="1">
        <v>680002</v>
      </c>
      <c r="H1374" s="1">
        <v>56.25</v>
      </c>
    </row>
    <row r="1375" spans="1:8" ht="21.75" customHeight="1">
      <c r="A1375" s="1" t="str">
        <f>"IN30226910606604"</f>
        <v>IN30226910606604</v>
      </c>
      <c r="B1375" s="1" t="s">
        <v>5144</v>
      </c>
      <c r="C1375" s="1" t="s">
        <v>5145</v>
      </c>
      <c r="D1375" s="1" t="s">
        <v>5146</v>
      </c>
      <c r="E1375" s="1" t="s">
        <v>5147</v>
      </c>
      <c r="F1375" s="1"/>
      <c r="G1375" s="1">
        <v>680003</v>
      </c>
      <c r="H1375" s="1">
        <v>147</v>
      </c>
    </row>
    <row r="1376" spans="1:8" ht="21.75" customHeight="1">
      <c r="A1376" s="1" t="str">
        <f>"IN30323710215675"</f>
        <v>IN30323710215675</v>
      </c>
      <c r="B1376" s="1" t="s">
        <v>5148</v>
      </c>
      <c r="C1376" s="1" t="s">
        <v>5149</v>
      </c>
      <c r="D1376" s="1" t="s">
        <v>5150</v>
      </c>
      <c r="E1376" s="1" t="s">
        <v>5151</v>
      </c>
      <c r="F1376" s="1"/>
      <c r="G1376" s="1">
        <v>680004</v>
      </c>
      <c r="H1376" s="1">
        <v>54.75</v>
      </c>
    </row>
    <row r="1377" spans="1:8" ht="21.75" customHeight="1">
      <c r="A1377" s="1" t="str">
        <f>"IN30151610222260"</f>
        <v>IN30151610222260</v>
      </c>
      <c r="B1377" s="1" t="s">
        <v>5153</v>
      </c>
      <c r="C1377" s="1" t="s">
        <v>5154</v>
      </c>
      <c r="D1377" s="1" t="s">
        <v>5155</v>
      </c>
      <c r="E1377" s="1" t="s">
        <v>5156</v>
      </c>
      <c r="F1377" s="1"/>
      <c r="G1377" s="1">
        <v>680005</v>
      </c>
      <c r="H1377" s="1">
        <v>3</v>
      </c>
    </row>
    <row r="1378" spans="1:8" ht="21.75" customHeight="1">
      <c r="A1378" s="1" t="str">
        <f>"1202980000178540"</f>
        <v>1202980000178540</v>
      </c>
      <c r="B1378" s="1" t="s">
        <v>5157</v>
      </c>
      <c r="C1378" s="1" t="s">
        <v>5158</v>
      </c>
      <c r="D1378" s="1" t="s">
        <v>5159</v>
      </c>
      <c r="E1378" s="1" t="s">
        <v>5160</v>
      </c>
      <c r="F1378" s="1" t="s">
        <v>42</v>
      </c>
      <c r="G1378" s="1">
        <v>680006</v>
      </c>
      <c r="H1378" s="1">
        <v>15</v>
      </c>
    </row>
    <row r="1379" spans="1:8" ht="21.75" customHeight="1">
      <c r="A1379" s="1" t="str">
        <f>"1206300000026732"</f>
        <v>1206300000026732</v>
      </c>
      <c r="B1379" s="1" t="s">
        <v>5161</v>
      </c>
      <c r="C1379" s="1" t="s">
        <v>5162</v>
      </c>
      <c r="D1379" s="1" t="s">
        <v>5163</v>
      </c>
      <c r="E1379" s="1" t="s">
        <v>5164</v>
      </c>
      <c r="F1379" s="1" t="s">
        <v>37</v>
      </c>
      <c r="G1379" s="1">
        <v>680006</v>
      </c>
      <c r="H1379" s="1">
        <v>75</v>
      </c>
    </row>
    <row r="1380" spans="1:8" ht="21.75" customHeight="1">
      <c r="A1380" s="1" t="str">
        <f>"IN30189511035569"</f>
        <v>IN30189511035569</v>
      </c>
      <c r="B1380" s="1" t="s">
        <v>5165</v>
      </c>
      <c r="C1380" s="1" t="s">
        <v>5166</v>
      </c>
      <c r="D1380" s="1" t="s">
        <v>5167</v>
      </c>
      <c r="E1380" s="1" t="s">
        <v>5168</v>
      </c>
      <c r="F1380" s="1"/>
      <c r="G1380" s="1">
        <v>680013</v>
      </c>
      <c r="H1380" s="1">
        <v>75</v>
      </c>
    </row>
    <row r="1381" spans="1:8" ht="21.75" customHeight="1">
      <c r="A1381" s="1" t="str">
        <f>"1204470006214064"</f>
        <v>1204470006214064</v>
      </c>
      <c r="B1381" s="1" t="s">
        <v>5169</v>
      </c>
      <c r="C1381" s="1" t="s">
        <v>5170</v>
      </c>
      <c r="D1381" s="1" t="s">
        <v>5171</v>
      </c>
      <c r="E1381" s="1"/>
      <c r="F1381" s="1" t="s">
        <v>42</v>
      </c>
      <c r="G1381" s="1">
        <v>680013</v>
      </c>
      <c r="H1381" s="1">
        <v>18</v>
      </c>
    </row>
    <row r="1382" spans="1:8" ht="21.75" customHeight="1">
      <c r="A1382" s="1" t="str">
        <f>"1204760000159134"</f>
        <v>1204760000159134</v>
      </c>
      <c r="B1382" s="1" t="s">
        <v>5172</v>
      </c>
      <c r="C1382" s="1" t="s">
        <v>5173</v>
      </c>
      <c r="D1382" s="1" t="s">
        <v>5174</v>
      </c>
      <c r="E1382" s="1"/>
      <c r="F1382" s="1" t="s">
        <v>42</v>
      </c>
      <c r="G1382" s="1">
        <v>680013</v>
      </c>
      <c r="H1382" s="1">
        <v>37.5</v>
      </c>
    </row>
    <row r="1383" spans="1:8" ht="21.75" customHeight="1">
      <c r="A1383" s="1" t="str">
        <f>"1203760000019367"</f>
        <v>1203760000019367</v>
      </c>
      <c r="B1383" s="1" t="s">
        <v>5175</v>
      </c>
      <c r="C1383" s="1" t="s">
        <v>5176</v>
      </c>
      <c r="D1383" s="1" t="s">
        <v>5177</v>
      </c>
      <c r="E1383" s="1" t="s">
        <v>5178</v>
      </c>
      <c r="F1383" s="1" t="s">
        <v>42</v>
      </c>
      <c r="G1383" s="1">
        <v>680014</v>
      </c>
      <c r="H1383" s="1">
        <v>362.25</v>
      </c>
    </row>
    <row r="1384" spans="1:8" ht="21.75" customHeight="1">
      <c r="A1384" s="1" t="str">
        <f>"IN30039417591616"</f>
        <v>IN30039417591616</v>
      </c>
      <c r="B1384" s="1" t="s">
        <v>5179</v>
      </c>
      <c r="C1384" s="1" t="s">
        <v>5180</v>
      </c>
      <c r="D1384" s="1" t="s">
        <v>5181</v>
      </c>
      <c r="E1384" s="1" t="s">
        <v>42</v>
      </c>
      <c r="F1384" s="1"/>
      <c r="G1384" s="1">
        <v>680027</v>
      </c>
      <c r="H1384" s="1">
        <v>75</v>
      </c>
    </row>
    <row r="1385" spans="1:8" ht="21.75" customHeight="1">
      <c r="A1385" s="1" t="str">
        <f>"1205670000434536"</f>
        <v>1205670000434536</v>
      </c>
      <c r="B1385" s="1" t="s">
        <v>5182</v>
      </c>
      <c r="C1385" s="1" t="s">
        <v>5183</v>
      </c>
      <c r="D1385" s="1" t="s">
        <v>5184</v>
      </c>
      <c r="E1385" s="1"/>
      <c r="F1385" s="1" t="s">
        <v>37</v>
      </c>
      <c r="G1385" s="1">
        <v>680027</v>
      </c>
      <c r="H1385" s="1">
        <v>22.5</v>
      </c>
    </row>
    <row r="1386" spans="1:8" ht="21.75" customHeight="1">
      <c r="A1386" s="1" t="str">
        <f>"IN30021416844994"</f>
        <v>IN30021416844994</v>
      </c>
      <c r="B1386" s="1" t="s">
        <v>5185</v>
      </c>
      <c r="C1386" s="1" t="s">
        <v>5186</v>
      </c>
      <c r="D1386" s="1" t="s">
        <v>5187</v>
      </c>
      <c r="E1386" s="1" t="s">
        <v>5098</v>
      </c>
      <c r="F1386" s="1"/>
      <c r="G1386" s="1">
        <v>680028</v>
      </c>
      <c r="H1386" s="1">
        <v>27</v>
      </c>
    </row>
    <row r="1387" spans="1:8" ht="21.75" customHeight="1">
      <c r="A1387" s="1" t="str">
        <f>"1208180040613373"</f>
        <v>1208180040613373</v>
      </c>
      <c r="B1387" s="1" t="s">
        <v>5188</v>
      </c>
      <c r="C1387" s="1" t="s">
        <v>5189</v>
      </c>
      <c r="D1387" s="1" t="s">
        <v>5190</v>
      </c>
      <c r="E1387" s="1" t="s">
        <v>547</v>
      </c>
      <c r="F1387" s="1" t="s">
        <v>42</v>
      </c>
      <c r="G1387" s="1">
        <v>680121</v>
      </c>
      <c r="H1387" s="1">
        <v>15</v>
      </c>
    </row>
    <row r="1388" spans="1:8" ht="21.75" customHeight="1">
      <c r="A1388" s="1" t="str">
        <f>"1204760000321545"</f>
        <v>1204760000321545</v>
      </c>
      <c r="B1388" s="1" t="s">
        <v>5191</v>
      </c>
      <c r="C1388" s="1" t="s">
        <v>5192</v>
      </c>
      <c r="D1388" s="1" t="s">
        <v>5193</v>
      </c>
      <c r="E1388" s="1"/>
      <c r="F1388" s="1" t="s">
        <v>42</v>
      </c>
      <c r="G1388" s="1">
        <v>680121</v>
      </c>
      <c r="H1388" s="1">
        <v>56.25</v>
      </c>
    </row>
    <row r="1389" spans="1:8" ht="21.75" customHeight="1">
      <c r="A1389" s="1" t="str">
        <f>"1201090003895815"</f>
        <v>1201090003895815</v>
      </c>
      <c r="B1389" s="1" t="s">
        <v>5194</v>
      </c>
      <c r="C1389" s="1" t="s">
        <v>5195</v>
      </c>
      <c r="D1389" s="1" t="s">
        <v>5196</v>
      </c>
      <c r="E1389" s="1" t="s">
        <v>5197</v>
      </c>
      <c r="F1389" s="1" t="s">
        <v>42</v>
      </c>
      <c r="G1389" s="1">
        <v>680121</v>
      </c>
      <c r="H1389" s="1">
        <v>86.25</v>
      </c>
    </row>
    <row r="1390" spans="1:8" ht="21.75" customHeight="1">
      <c r="A1390" s="1" t="str">
        <f>"IN30177410873829"</f>
        <v>IN30177410873829</v>
      </c>
      <c r="B1390" s="1" t="s">
        <v>5198</v>
      </c>
      <c r="C1390" s="1" t="s">
        <v>5199</v>
      </c>
      <c r="D1390" s="1" t="s">
        <v>5200</v>
      </c>
      <c r="E1390" s="1" t="s">
        <v>5201</v>
      </c>
      <c r="F1390" s="1"/>
      <c r="G1390" s="1">
        <v>680301</v>
      </c>
      <c r="H1390" s="1">
        <v>0.75</v>
      </c>
    </row>
    <row r="1391" spans="1:8" ht="21.75" customHeight="1">
      <c r="A1391" s="1" t="str">
        <f>"1208160014847347"</f>
        <v>1208160014847347</v>
      </c>
      <c r="B1391" s="1" t="s">
        <v>5202</v>
      </c>
      <c r="C1391" s="1" t="s">
        <v>5203</v>
      </c>
      <c r="D1391" s="1" t="s">
        <v>5204</v>
      </c>
      <c r="E1391" s="1"/>
      <c r="F1391" s="1" t="s">
        <v>42</v>
      </c>
      <c r="G1391" s="1">
        <v>680301</v>
      </c>
      <c r="H1391" s="1">
        <v>0.75</v>
      </c>
    </row>
    <row r="1392" spans="1:8" ht="21.75" customHeight="1">
      <c r="A1392" s="1" t="str">
        <f>"IN30177416167138"</f>
        <v>IN30177416167138</v>
      </c>
      <c r="B1392" s="1" t="s">
        <v>5205</v>
      </c>
      <c r="C1392" s="1" t="s">
        <v>5206</v>
      </c>
      <c r="D1392" s="1" t="s">
        <v>5207</v>
      </c>
      <c r="E1392" s="1" t="s">
        <v>5208</v>
      </c>
      <c r="F1392" s="1"/>
      <c r="G1392" s="1">
        <v>680304</v>
      </c>
      <c r="H1392" s="1">
        <v>2.25</v>
      </c>
    </row>
    <row r="1393" spans="1:8" ht="21.75" customHeight="1">
      <c r="A1393" s="1" t="str">
        <f>"1203320015680693"</f>
        <v>1203320015680693</v>
      </c>
      <c r="B1393" s="1" t="s">
        <v>5209</v>
      </c>
      <c r="C1393" s="1" t="s">
        <v>5210</v>
      </c>
      <c r="D1393" s="1" t="s">
        <v>5211</v>
      </c>
      <c r="E1393" s="1" t="s">
        <v>5212</v>
      </c>
      <c r="F1393" s="1" t="s">
        <v>42</v>
      </c>
      <c r="G1393" s="1">
        <v>680307</v>
      </c>
      <c r="H1393" s="1">
        <v>150</v>
      </c>
    </row>
    <row r="1394" spans="1:8" ht="21.75" customHeight="1">
      <c r="A1394" s="1" t="str">
        <f>"1208160079993726"</f>
        <v>1208160079993726</v>
      </c>
      <c r="B1394" s="1" t="s">
        <v>5213</v>
      </c>
      <c r="C1394" s="1" t="s">
        <v>5214</v>
      </c>
      <c r="D1394" s="1" t="s">
        <v>5215</v>
      </c>
      <c r="E1394" s="1"/>
      <c r="F1394" s="1" t="s">
        <v>42</v>
      </c>
      <c r="G1394" s="1">
        <v>680308</v>
      </c>
      <c r="H1394" s="1">
        <v>56.25</v>
      </c>
    </row>
    <row r="1395" spans="1:8" ht="21.75" customHeight="1">
      <c r="A1395" s="1" t="str">
        <f>"IN30311613196906"</f>
        <v>IN30311613196906</v>
      </c>
      <c r="B1395" s="1" t="s">
        <v>5216</v>
      </c>
      <c r="C1395" s="1" t="s">
        <v>5217</v>
      </c>
      <c r="D1395" s="1" t="s">
        <v>5218</v>
      </c>
      <c r="E1395" s="1" t="s">
        <v>5219</v>
      </c>
      <c r="F1395" s="1"/>
      <c r="G1395" s="1">
        <v>680555</v>
      </c>
      <c r="H1395" s="1">
        <v>75</v>
      </c>
    </row>
    <row r="1396" spans="1:8" ht="21.75" customHeight="1">
      <c r="A1396" s="1" t="str">
        <f>"IN30089610411664"</f>
        <v>IN30089610411664</v>
      </c>
      <c r="B1396" s="1" t="s">
        <v>5220</v>
      </c>
      <c r="C1396" s="1" t="s">
        <v>5221</v>
      </c>
      <c r="D1396" s="1" t="s">
        <v>5222</v>
      </c>
      <c r="E1396" s="1" t="s">
        <v>5223</v>
      </c>
      <c r="F1396" s="1"/>
      <c r="G1396" s="1">
        <v>680561</v>
      </c>
      <c r="H1396" s="1">
        <v>75</v>
      </c>
    </row>
    <row r="1397" spans="1:8" ht="21.75" customHeight="1">
      <c r="A1397" s="1" t="str">
        <f>"IN30177416684034"</f>
        <v>IN30177416684034</v>
      </c>
      <c r="B1397" s="1" t="s">
        <v>5224</v>
      </c>
      <c r="C1397" s="1" t="s">
        <v>5225</v>
      </c>
      <c r="D1397" s="1" t="s">
        <v>5210</v>
      </c>
      <c r="E1397" s="1" t="s">
        <v>5226</v>
      </c>
      <c r="F1397" s="1"/>
      <c r="G1397" s="1">
        <v>680566</v>
      </c>
      <c r="H1397" s="1">
        <v>8980</v>
      </c>
    </row>
    <row r="1398" spans="1:8" ht="21.75" customHeight="1">
      <c r="A1398" s="1" t="str">
        <f>"1204760000198351"</f>
        <v>1204760000198351</v>
      </c>
      <c r="B1398" s="1" t="s">
        <v>5227</v>
      </c>
      <c r="C1398" s="1" t="s">
        <v>5225</v>
      </c>
      <c r="D1398" s="1" t="s">
        <v>5210</v>
      </c>
      <c r="E1398" s="1" t="s">
        <v>5228</v>
      </c>
      <c r="F1398" s="1" t="s">
        <v>42</v>
      </c>
      <c r="G1398" s="1">
        <v>680566</v>
      </c>
      <c r="H1398" s="1">
        <v>10125</v>
      </c>
    </row>
    <row r="1399" spans="1:8" ht="21.75" customHeight="1">
      <c r="A1399" s="1" t="str">
        <f>"1204760000219862"</f>
        <v>1204760000219862</v>
      </c>
      <c r="B1399" s="1" t="s">
        <v>5229</v>
      </c>
      <c r="C1399" s="1" t="s">
        <v>5230</v>
      </c>
      <c r="D1399" s="1" t="s">
        <v>5231</v>
      </c>
      <c r="E1399" s="1"/>
      <c r="F1399" s="1" t="s">
        <v>42</v>
      </c>
      <c r="G1399" s="1">
        <v>680568</v>
      </c>
      <c r="H1399" s="1">
        <v>15</v>
      </c>
    </row>
    <row r="1400" spans="1:8" ht="21.75" customHeight="1">
      <c r="A1400" s="1" t="str">
        <f>"IN30226911595682"</f>
        <v>IN30226911595682</v>
      </c>
      <c r="B1400" s="1" t="s">
        <v>5232</v>
      </c>
      <c r="C1400" s="1" t="s">
        <v>5233</v>
      </c>
      <c r="D1400" s="1" t="s">
        <v>5234</v>
      </c>
      <c r="E1400" s="1" t="s">
        <v>5235</v>
      </c>
      <c r="F1400" s="1"/>
      <c r="G1400" s="1">
        <v>680569</v>
      </c>
      <c r="H1400" s="1">
        <v>59.25</v>
      </c>
    </row>
    <row r="1401" spans="1:8" ht="21.75" customHeight="1">
      <c r="A1401" s="1" t="str">
        <f>"1204470003893881"</f>
        <v>1204470003893881</v>
      </c>
      <c r="B1401" s="1" t="s">
        <v>5236</v>
      </c>
      <c r="C1401" s="1" t="s">
        <v>5237</v>
      </c>
      <c r="D1401" s="1" t="s">
        <v>5238</v>
      </c>
      <c r="E1401" s="1"/>
      <c r="F1401" s="1" t="s">
        <v>42</v>
      </c>
      <c r="G1401" s="1">
        <v>680570</v>
      </c>
      <c r="H1401" s="1">
        <v>282</v>
      </c>
    </row>
    <row r="1402" spans="1:8" ht="21.75" customHeight="1">
      <c r="A1402" s="1" t="str">
        <f>"1204760000305793"</f>
        <v>1204760000305793</v>
      </c>
      <c r="B1402" s="1" t="s">
        <v>5239</v>
      </c>
      <c r="C1402" s="1" t="s">
        <v>5240</v>
      </c>
      <c r="D1402" s="1" t="s">
        <v>5241</v>
      </c>
      <c r="E1402" s="1" t="s">
        <v>5242</v>
      </c>
      <c r="F1402" s="1" t="s">
        <v>42</v>
      </c>
      <c r="G1402" s="1">
        <v>680570</v>
      </c>
      <c r="H1402" s="1">
        <v>75</v>
      </c>
    </row>
    <row r="1403" spans="1:8" ht="21.75" customHeight="1">
      <c r="A1403" s="1" t="str">
        <f>"1208180010709441"</f>
        <v>1208180010709441</v>
      </c>
      <c r="B1403" s="1" t="s">
        <v>5243</v>
      </c>
      <c r="C1403" s="1" t="s">
        <v>5244</v>
      </c>
      <c r="D1403" s="1" t="s">
        <v>5245</v>
      </c>
      <c r="E1403" s="1"/>
      <c r="F1403" s="1" t="s">
        <v>42</v>
      </c>
      <c r="G1403" s="1">
        <v>680571</v>
      </c>
      <c r="H1403" s="1">
        <v>3.75</v>
      </c>
    </row>
    <row r="1404" spans="1:8" ht="21.75" customHeight="1">
      <c r="A1404" s="1" t="str">
        <f>"IN30163741456370"</f>
        <v>IN30163741456370</v>
      </c>
      <c r="B1404" s="1" t="s">
        <v>5246</v>
      </c>
      <c r="C1404" s="1" t="s">
        <v>5247</v>
      </c>
      <c r="D1404" s="1" t="s">
        <v>5248</v>
      </c>
      <c r="E1404" s="1" t="s">
        <v>5249</v>
      </c>
      <c r="F1404" s="1"/>
      <c r="G1404" s="1">
        <v>680573</v>
      </c>
      <c r="H1404" s="1">
        <v>0.75</v>
      </c>
    </row>
    <row r="1405" spans="1:8" ht="21.75" customHeight="1">
      <c r="A1405" s="1" t="str">
        <f>"1203280000197736"</f>
        <v>1203280000197736</v>
      </c>
      <c r="B1405" s="1" t="s">
        <v>5250</v>
      </c>
      <c r="C1405" s="1" t="s">
        <v>5251</v>
      </c>
      <c r="D1405" s="1" t="s">
        <v>5252</v>
      </c>
      <c r="E1405" s="1" t="s">
        <v>5253</v>
      </c>
      <c r="F1405" s="1" t="s">
        <v>42</v>
      </c>
      <c r="G1405" s="1">
        <v>680581</v>
      </c>
      <c r="H1405" s="1">
        <v>41.25</v>
      </c>
    </row>
    <row r="1406" spans="1:8" ht="21.75" customHeight="1">
      <c r="A1406" s="1" t="str">
        <f>"IN30160410819257"</f>
        <v>IN30160410819257</v>
      </c>
      <c r="B1406" s="1" t="s">
        <v>5254</v>
      </c>
      <c r="C1406" s="1" t="s">
        <v>5255</v>
      </c>
      <c r="D1406" s="1" t="s">
        <v>5256</v>
      </c>
      <c r="E1406" s="1" t="s">
        <v>5257</v>
      </c>
      <c r="F1406" s="1"/>
      <c r="G1406" s="1">
        <v>680583</v>
      </c>
      <c r="H1406" s="1">
        <v>7.5</v>
      </c>
    </row>
    <row r="1407" spans="1:8" ht="21.75" customHeight="1">
      <c r="A1407" s="1" t="str">
        <f>"1204760000151631"</f>
        <v>1204760000151631</v>
      </c>
      <c r="B1407" s="1" t="s">
        <v>5258</v>
      </c>
      <c r="C1407" s="1" t="s">
        <v>5259</v>
      </c>
      <c r="D1407" s="1" t="s">
        <v>5260</v>
      </c>
      <c r="E1407" s="1"/>
      <c r="F1407" s="1" t="s">
        <v>42</v>
      </c>
      <c r="G1407" s="1">
        <v>680612</v>
      </c>
      <c r="H1407" s="1">
        <v>75</v>
      </c>
    </row>
    <row r="1408" spans="1:8" ht="21.75" customHeight="1">
      <c r="A1408" s="1" t="str">
        <f>"IN30226913724323"</f>
        <v>IN30226913724323</v>
      </c>
      <c r="B1408" s="1" t="s">
        <v>5261</v>
      </c>
      <c r="C1408" s="1" t="s">
        <v>5262</v>
      </c>
      <c r="D1408" s="1" t="s">
        <v>5263</v>
      </c>
      <c r="E1408" s="1" t="s">
        <v>5264</v>
      </c>
      <c r="F1408" s="1"/>
      <c r="G1408" s="1">
        <v>680615</v>
      </c>
      <c r="H1408" s="1">
        <v>45</v>
      </c>
    </row>
    <row r="1409" spans="1:8" ht="21.75" customHeight="1">
      <c r="A1409" s="1" t="str">
        <f>"IN30429529075897"</f>
        <v>IN30429529075897</v>
      </c>
      <c r="B1409" s="1" t="s">
        <v>5265</v>
      </c>
      <c r="C1409" s="1" t="s">
        <v>5266</v>
      </c>
      <c r="D1409" s="1" t="s">
        <v>5267</v>
      </c>
      <c r="E1409" s="1" t="s">
        <v>5268</v>
      </c>
      <c r="F1409" s="1"/>
      <c r="G1409" s="1">
        <v>680618</v>
      </c>
      <c r="H1409" s="1">
        <v>11.25</v>
      </c>
    </row>
    <row r="1410" spans="1:8" ht="21.75" customHeight="1">
      <c r="A1410" s="1" t="str">
        <f>"IN30089610452403"</f>
        <v>IN30089610452403</v>
      </c>
      <c r="B1410" s="1" t="s">
        <v>5269</v>
      </c>
      <c r="C1410" s="1" t="s">
        <v>5270</v>
      </c>
      <c r="D1410" s="1" t="s">
        <v>5271</v>
      </c>
      <c r="E1410" s="1" t="s">
        <v>5272</v>
      </c>
      <c r="F1410" s="1"/>
      <c r="G1410" s="1">
        <v>680631</v>
      </c>
      <c r="H1410" s="1">
        <v>56.25</v>
      </c>
    </row>
    <row r="1411" spans="1:8" ht="21.75" customHeight="1">
      <c r="A1411" s="1" t="str">
        <f>"IN30023913772126"</f>
        <v>IN30023913772126</v>
      </c>
      <c r="B1411" s="1" t="s">
        <v>5273</v>
      </c>
      <c r="C1411" s="1" t="s">
        <v>5274</v>
      </c>
      <c r="D1411" s="1" t="s">
        <v>5275</v>
      </c>
      <c r="E1411" s="1" t="s">
        <v>5257</v>
      </c>
      <c r="F1411" s="1"/>
      <c r="G1411" s="1">
        <v>680631</v>
      </c>
      <c r="H1411" s="1">
        <v>75</v>
      </c>
    </row>
    <row r="1412" spans="1:8" ht="21.75" customHeight="1">
      <c r="A1412" s="1" t="str">
        <f>"IN30189511085926"</f>
        <v>IN30189511085926</v>
      </c>
      <c r="B1412" s="1" t="s">
        <v>5276</v>
      </c>
      <c r="C1412" s="1" t="s">
        <v>5277</v>
      </c>
      <c r="D1412" s="1" t="s">
        <v>5278</v>
      </c>
      <c r="E1412" s="1" t="s">
        <v>5168</v>
      </c>
      <c r="F1412" s="1"/>
      <c r="G1412" s="1">
        <v>680641</v>
      </c>
      <c r="H1412" s="1">
        <v>7.5</v>
      </c>
    </row>
    <row r="1413" spans="1:8" ht="21.75" customHeight="1">
      <c r="A1413" s="1" t="str">
        <f>"1202300000882775"</f>
        <v>1202300000882775</v>
      </c>
      <c r="B1413" s="1" t="s">
        <v>5279</v>
      </c>
      <c r="C1413" s="1" t="s">
        <v>5280</v>
      </c>
      <c r="D1413" s="1" t="s">
        <v>5281</v>
      </c>
      <c r="E1413" s="1" t="s">
        <v>5282</v>
      </c>
      <c r="F1413" s="1" t="s">
        <v>42</v>
      </c>
      <c r="G1413" s="1">
        <v>680641</v>
      </c>
      <c r="H1413" s="1">
        <v>210</v>
      </c>
    </row>
    <row r="1414" spans="1:8" ht="21.75" customHeight="1">
      <c r="A1414" s="1" t="str">
        <f>"IN30429524241719"</f>
        <v>IN30429524241719</v>
      </c>
      <c r="B1414" s="1" t="s">
        <v>5283</v>
      </c>
      <c r="C1414" s="1" t="s">
        <v>5284</v>
      </c>
      <c r="D1414" s="1" t="s">
        <v>5285</v>
      </c>
      <c r="E1414" s="1" t="s">
        <v>5286</v>
      </c>
      <c r="F1414" s="1"/>
      <c r="G1414" s="1">
        <v>680651</v>
      </c>
      <c r="H1414" s="1">
        <v>17.25</v>
      </c>
    </row>
    <row r="1415" spans="1:8" ht="21.75" customHeight="1">
      <c r="A1415" s="1" t="str">
        <f>"1204720010304929"</f>
        <v>1204720010304929</v>
      </c>
      <c r="B1415" s="1" t="s">
        <v>5287</v>
      </c>
      <c r="C1415" s="1" t="s">
        <v>5288</v>
      </c>
      <c r="D1415" s="1" t="s">
        <v>5289</v>
      </c>
      <c r="E1415" s="1" t="s">
        <v>5290</v>
      </c>
      <c r="F1415" s="1" t="s">
        <v>42</v>
      </c>
      <c r="G1415" s="1">
        <v>680651</v>
      </c>
      <c r="H1415" s="1">
        <v>15</v>
      </c>
    </row>
    <row r="1416" spans="1:8" ht="21.75" customHeight="1">
      <c r="A1416" s="1" t="str">
        <f>"1204760000029007"</f>
        <v>1204760000029007</v>
      </c>
      <c r="B1416" s="1" t="s">
        <v>5291</v>
      </c>
      <c r="C1416" s="1" t="s">
        <v>5292</v>
      </c>
      <c r="D1416" s="1" t="s">
        <v>5293</v>
      </c>
      <c r="E1416" s="1"/>
      <c r="F1416" s="1" t="s">
        <v>42</v>
      </c>
      <c r="G1416" s="1">
        <v>680657</v>
      </c>
      <c r="H1416" s="1">
        <v>30</v>
      </c>
    </row>
    <row r="1417" spans="1:8" ht="21.75" customHeight="1">
      <c r="A1417" s="1" t="str">
        <f>"1201090012671753"</f>
        <v>1201090012671753</v>
      </c>
      <c r="B1417" s="1" t="s">
        <v>5294</v>
      </c>
      <c r="C1417" s="1" t="s">
        <v>5295</v>
      </c>
      <c r="D1417" s="1" t="s">
        <v>5296</v>
      </c>
      <c r="E1417" s="1"/>
      <c r="F1417" s="1" t="s">
        <v>42</v>
      </c>
      <c r="G1417" s="1">
        <v>680661</v>
      </c>
      <c r="H1417" s="1">
        <v>33.75</v>
      </c>
    </row>
    <row r="1418" spans="1:8" ht="21.75" customHeight="1">
      <c r="A1418" s="1" t="str">
        <f>"003280"</f>
        <v>003280</v>
      </c>
      <c r="B1418" s="1" t="s">
        <v>5297</v>
      </c>
      <c r="C1418" s="1" t="s">
        <v>5298</v>
      </c>
      <c r="D1418" s="1" t="s">
        <v>5299</v>
      </c>
      <c r="E1418" s="1" t="s">
        <v>530</v>
      </c>
      <c r="F1418" s="1" t="s">
        <v>37</v>
      </c>
      <c r="G1418" s="1">
        <v>680668</v>
      </c>
      <c r="H1418" s="1">
        <v>4800</v>
      </c>
    </row>
    <row r="1419" spans="1:8" ht="21.75" customHeight="1">
      <c r="A1419" s="1" t="str">
        <f>"1204470005683591"</f>
        <v>1204470005683591</v>
      </c>
      <c r="B1419" s="1" t="s">
        <v>5300</v>
      </c>
      <c r="C1419" s="1" t="s">
        <v>5301</v>
      </c>
      <c r="D1419" s="1" t="s">
        <v>5302</v>
      </c>
      <c r="E1419" s="1" t="s">
        <v>5303</v>
      </c>
      <c r="F1419" s="1" t="s">
        <v>42</v>
      </c>
      <c r="G1419" s="1">
        <v>680669</v>
      </c>
      <c r="H1419" s="1">
        <v>1.5</v>
      </c>
    </row>
    <row r="1420" spans="1:8" ht="21.75" customHeight="1">
      <c r="A1420" s="1" t="str">
        <f>"1201090012628751"</f>
        <v>1201090012628751</v>
      </c>
      <c r="B1420" s="1" t="s">
        <v>5304</v>
      </c>
      <c r="C1420" s="1" t="s">
        <v>5305</v>
      </c>
      <c r="D1420" s="1" t="s">
        <v>5306</v>
      </c>
      <c r="E1420" s="1"/>
      <c r="F1420" s="1" t="s">
        <v>42</v>
      </c>
      <c r="G1420" s="1">
        <v>680681</v>
      </c>
      <c r="H1420" s="1">
        <v>70.5</v>
      </c>
    </row>
    <row r="1421" spans="1:8" ht="21.75" customHeight="1">
      <c r="A1421" s="1" t="str">
        <f>"IN30163741308199"</f>
        <v>IN30163741308199</v>
      </c>
      <c r="B1421" s="1" t="s">
        <v>5308</v>
      </c>
      <c r="C1421" s="1" t="s">
        <v>5309</v>
      </c>
      <c r="D1421" s="1" t="s">
        <v>5310</v>
      </c>
      <c r="E1421" s="1" t="s">
        <v>5311</v>
      </c>
      <c r="F1421" s="1"/>
      <c r="G1421" s="1">
        <v>680683</v>
      </c>
      <c r="H1421" s="1">
        <v>86.25</v>
      </c>
    </row>
    <row r="1422" spans="1:8" ht="21.75" customHeight="1">
      <c r="A1422" s="1" t="str">
        <f>"1208180008343592"</f>
        <v>1208180008343592</v>
      </c>
      <c r="B1422" s="1" t="s">
        <v>5312</v>
      </c>
      <c r="C1422" s="1" t="s">
        <v>5313</v>
      </c>
      <c r="D1422" s="1"/>
      <c r="E1422" s="1"/>
      <c r="F1422" s="1" t="s">
        <v>42</v>
      </c>
      <c r="G1422" s="1">
        <v>680697</v>
      </c>
      <c r="H1422" s="1">
        <v>11.25</v>
      </c>
    </row>
    <row r="1423" spans="1:8" ht="21.75" customHeight="1">
      <c r="A1423" s="1" t="str">
        <f>"1204760000109817"</f>
        <v>1204760000109817</v>
      </c>
      <c r="B1423" s="1" t="s">
        <v>5314</v>
      </c>
      <c r="C1423" s="1" t="s">
        <v>5315</v>
      </c>
      <c r="D1423" s="1" t="s">
        <v>5316</v>
      </c>
      <c r="E1423" s="1"/>
      <c r="F1423" s="1" t="s">
        <v>42</v>
      </c>
      <c r="G1423" s="1">
        <v>680702</v>
      </c>
      <c r="H1423" s="1">
        <v>372</v>
      </c>
    </row>
    <row r="1424" spans="1:8" ht="21.75" customHeight="1">
      <c r="A1424" s="1" t="str">
        <f>"IN30163741139657"</f>
        <v>IN30163741139657</v>
      </c>
      <c r="B1424" s="1" t="s">
        <v>5317</v>
      </c>
      <c r="C1424" s="1" t="s">
        <v>5318</v>
      </c>
      <c r="D1424" s="1" t="s">
        <v>5319</v>
      </c>
      <c r="E1424" s="1" t="s">
        <v>5320</v>
      </c>
      <c r="F1424" s="1"/>
      <c r="G1424" s="1">
        <v>680712</v>
      </c>
      <c r="H1424" s="1">
        <v>15</v>
      </c>
    </row>
    <row r="1425" spans="1:8" ht="21.75" customHeight="1">
      <c r="A1425" s="1" t="str">
        <f>"IN30051319294253"</f>
        <v>IN30051319294253</v>
      </c>
      <c r="B1425" s="1" t="s">
        <v>5321</v>
      </c>
      <c r="C1425" s="1" t="s">
        <v>5322</v>
      </c>
      <c r="D1425" s="1" t="s">
        <v>5323</v>
      </c>
      <c r="E1425" s="1" t="s">
        <v>5324</v>
      </c>
      <c r="F1425" s="1"/>
      <c r="G1425" s="1">
        <v>680721</v>
      </c>
      <c r="H1425" s="1">
        <v>6</v>
      </c>
    </row>
    <row r="1426" spans="1:8" ht="21.75" customHeight="1">
      <c r="A1426" s="1" t="str">
        <f>"IN30429515028847"</f>
        <v>IN30429515028847</v>
      </c>
      <c r="B1426" s="1" t="s">
        <v>5325</v>
      </c>
      <c r="C1426" s="1" t="s">
        <v>5326</v>
      </c>
      <c r="D1426" s="1" t="s">
        <v>5327</v>
      </c>
      <c r="E1426" s="1" t="s">
        <v>5328</v>
      </c>
      <c r="F1426" s="1"/>
      <c r="G1426" s="1">
        <v>682001</v>
      </c>
      <c r="H1426" s="1">
        <v>0.75</v>
      </c>
    </row>
    <row r="1427" spans="1:8" ht="21.75" customHeight="1">
      <c r="A1427" s="1" t="str">
        <f>"IN30021411130223"</f>
        <v>IN30021411130223</v>
      </c>
      <c r="B1427" s="1" t="s">
        <v>5329</v>
      </c>
      <c r="C1427" s="1" t="s">
        <v>5330</v>
      </c>
      <c r="D1427" s="1" t="s">
        <v>5331</v>
      </c>
      <c r="E1427" s="1" t="s">
        <v>5332</v>
      </c>
      <c r="F1427" s="1"/>
      <c r="G1427" s="1">
        <v>682005</v>
      </c>
      <c r="H1427" s="1">
        <v>7.5</v>
      </c>
    </row>
    <row r="1428" spans="1:8" ht="21.75" customHeight="1">
      <c r="A1428" s="1" t="str">
        <f>"1203320006508609"</f>
        <v>1203320006508609</v>
      </c>
      <c r="B1428" s="1" t="s">
        <v>5333</v>
      </c>
      <c r="C1428" s="1" t="s">
        <v>5334</v>
      </c>
      <c r="D1428" s="1" t="s">
        <v>5335</v>
      </c>
      <c r="E1428" s="1"/>
      <c r="F1428" s="1" t="s">
        <v>5335</v>
      </c>
      <c r="G1428" s="1">
        <v>682011</v>
      </c>
      <c r="H1428" s="1">
        <v>2.25</v>
      </c>
    </row>
    <row r="1429" spans="1:8" ht="21.75" customHeight="1">
      <c r="A1429" s="1" t="str">
        <f>"1202390000349975"</f>
        <v>1202390000349975</v>
      </c>
      <c r="B1429" s="1" t="s">
        <v>5336</v>
      </c>
      <c r="C1429" s="1" t="s">
        <v>5337</v>
      </c>
      <c r="D1429" s="1" t="s">
        <v>5338</v>
      </c>
      <c r="E1429" s="1" t="s">
        <v>54</v>
      </c>
      <c r="F1429" s="1" t="s">
        <v>48</v>
      </c>
      <c r="G1429" s="1">
        <v>682012</v>
      </c>
      <c r="H1429" s="1">
        <v>33.75</v>
      </c>
    </row>
    <row r="1430" spans="1:8" ht="21.75" customHeight="1">
      <c r="A1430" s="1" t="str">
        <f>"IN30023913870606"</f>
        <v>IN30023913870606</v>
      </c>
      <c r="B1430" s="1" t="s">
        <v>5339</v>
      </c>
      <c r="C1430" s="1" t="s">
        <v>5340</v>
      </c>
      <c r="D1430" s="1" t="s">
        <v>5341</v>
      </c>
      <c r="E1430" s="1" t="s">
        <v>5342</v>
      </c>
      <c r="F1430" s="1"/>
      <c r="G1430" s="1">
        <v>682016</v>
      </c>
      <c r="H1430" s="1">
        <v>7.5</v>
      </c>
    </row>
    <row r="1431" spans="1:8" ht="21.75" customHeight="1">
      <c r="A1431" s="1" t="str">
        <f>"IN30169612167461"</f>
        <v>IN30169612167461</v>
      </c>
      <c r="B1431" s="1" t="s">
        <v>5343</v>
      </c>
      <c r="C1431" s="1" t="s">
        <v>5344</v>
      </c>
      <c r="D1431" s="1" t="s">
        <v>5345</v>
      </c>
      <c r="E1431" s="1" t="s">
        <v>5346</v>
      </c>
      <c r="F1431" s="1"/>
      <c r="G1431" s="1">
        <v>682017</v>
      </c>
      <c r="H1431" s="1">
        <v>9</v>
      </c>
    </row>
    <row r="1432" spans="1:8" ht="21.75" customHeight="1">
      <c r="A1432" s="1" t="str">
        <f>"IN30169612193438"</f>
        <v>IN30169612193438</v>
      </c>
      <c r="B1432" s="1" t="s">
        <v>5347</v>
      </c>
      <c r="C1432" s="1" t="s">
        <v>5348</v>
      </c>
      <c r="D1432" s="1" t="s">
        <v>5349</v>
      </c>
      <c r="E1432" s="1" t="s">
        <v>5350</v>
      </c>
      <c r="F1432" s="1"/>
      <c r="G1432" s="1">
        <v>682019</v>
      </c>
      <c r="H1432" s="1">
        <v>30</v>
      </c>
    </row>
    <row r="1433" spans="1:8" ht="21.75" customHeight="1">
      <c r="A1433" s="1" t="str">
        <f>"IN30023910431020"</f>
        <v>IN30023910431020</v>
      </c>
      <c r="B1433" s="1" t="s">
        <v>5351</v>
      </c>
      <c r="C1433" s="1" t="s">
        <v>5352</v>
      </c>
      <c r="D1433" s="1" t="s">
        <v>5353</v>
      </c>
      <c r="E1433" s="1" t="s">
        <v>5354</v>
      </c>
      <c r="F1433" s="1"/>
      <c r="G1433" s="1">
        <v>682026</v>
      </c>
      <c r="H1433" s="1">
        <v>75</v>
      </c>
    </row>
    <row r="1434" spans="1:8" ht="21.75" customHeight="1">
      <c r="A1434" s="1" t="str">
        <f>"1304140000026264"</f>
        <v>1304140000026264</v>
      </c>
      <c r="B1434" s="1" t="s">
        <v>5355</v>
      </c>
      <c r="C1434" s="1">
        <v>31</v>
      </c>
      <c r="D1434" s="1" t="s">
        <v>5356</v>
      </c>
      <c r="E1434" s="1" t="s">
        <v>564</v>
      </c>
      <c r="F1434" s="1" t="s">
        <v>48</v>
      </c>
      <c r="G1434" s="1">
        <v>682036</v>
      </c>
      <c r="H1434" s="1">
        <v>37.5</v>
      </c>
    </row>
    <row r="1435" spans="1:8" ht="21.75" customHeight="1">
      <c r="A1435" s="1" t="str">
        <f>"1203350001071956"</f>
        <v>1203350001071956</v>
      </c>
      <c r="B1435" s="1" t="s">
        <v>5357</v>
      </c>
      <c r="C1435" s="1" t="s">
        <v>5358</v>
      </c>
      <c r="D1435" s="1" t="s">
        <v>5359</v>
      </c>
      <c r="E1435" s="1" t="s">
        <v>5360</v>
      </c>
      <c r="F1435" s="1" t="s">
        <v>52</v>
      </c>
      <c r="G1435" s="1">
        <v>682301</v>
      </c>
      <c r="H1435" s="1">
        <v>3.75</v>
      </c>
    </row>
    <row r="1436" spans="1:8" ht="21.75" customHeight="1">
      <c r="A1436" s="1" t="str">
        <f>"IN30023912673765"</f>
        <v>IN30023912673765</v>
      </c>
      <c r="B1436" s="1" t="s">
        <v>5361</v>
      </c>
      <c r="C1436" s="1" t="s">
        <v>5362</v>
      </c>
      <c r="D1436" s="1" t="s">
        <v>5363</v>
      </c>
      <c r="E1436" s="1" t="s">
        <v>5364</v>
      </c>
      <c r="F1436" s="1"/>
      <c r="G1436" s="1">
        <v>682307</v>
      </c>
      <c r="H1436" s="1">
        <v>7.5</v>
      </c>
    </row>
    <row r="1437" spans="1:8" ht="21.75" customHeight="1">
      <c r="A1437" s="1" t="str">
        <f>"1203320008168626"</f>
        <v>1203320008168626</v>
      </c>
      <c r="B1437" s="1" t="s">
        <v>5365</v>
      </c>
      <c r="C1437" s="1" t="s">
        <v>5366</v>
      </c>
      <c r="D1437" s="1" t="s">
        <v>5367</v>
      </c>
      <c r="E1437" s="1"/>
      <c r="F1437" s="1" t="s">
        <v>54</v>
      </c>
      <c r="G1437" s="1">
        <v>682312</v>
      </c>
      <c r="H1437" s="1">
        <v>406.5</v>
      </c>
    </row>
    <row r="1438" spans="1:8" ht="21.75" customHeight="1">
      <c r="A1438" s="1" t="str">
        <f>"1204760000200931"</f>
        <v>1204760000200931</v>
      </c>
      <c r="B1438" s="1" t="s">
        <v>5368</v>
      </c>
      <c r="C1438" s="1" t="s">
        <v>5369</v>
      </c>
      <c r="D1438" s="1" t="s">
        <v>5370</v>
      </c>
      <c r="E1438" s="1"/>
      <c r="F1438" s="1" t="s">
        <v>54</v>
      </c>
      <c r="G1438" s="1">
        <v>682502</v>
      </c>
      <c r="H1438" s="1">
        <v>150</v>
      </c>
    </row>
    <row r="1439" spans="1:8" ht="21.75" customHeight="1">
      <c r="A1439" s="1" t="str">
        <f>"1204760000219691"</f>
        <v>1204760000219691</v>
      </c>
      <c r="B1439" s="1" t="s">
        <v>5371</v>
      </c>
      <c r="C1439" s="1" t="s">
        <v>5372</v>
      </c>
      <c r="D1439" s="1" t="s">
        <v>5373</v>
      </c>
      <c r="E1439" s="1"/>
      <c r="F1439" s="1" t="s">
        <v>54</v>
      </c>
      <c r="G1439" s="1">
        <v>682505</v>
      </c>
      <c r="H1439" s="1">
        <v>187.5</v>
      </c>
    </row>
    <row r="1440" spans="1:8" ht="21.75" customHeight="1">
      <c r="A1440" s="1" t="str">
        <f>"1203320007250616"</f>
        <v>1203320007250616</v>
      </c>
      <c r="B1440" s="1" t="s">
        <v>5374</v>
      </c>
      <c r="C1440" s="1" t="s">
        <v>5375</v>
      </c>
      <c r="D1440" s="1" t="s">
        <v>5376</v>
      </c>
      <c r="E1440" s="1"/>
      <c r="F1440" s="1" t="s">
        <v>54</v>
      </c>
      <c r="G1440" s="1">
        <v>682508</v>
      </c>
      <c r="H1440" s="1">
        <v>30.75</v>
      </c>
    </row>
    <row r="1441" spans="1:8" ht="21.75" customHeight="1">
      <c r="A1441" s="1" t="str">
        <f>"1201090001700411"</f>
        <v>1201090001700411</v>
      </c>
      <c r="B1441" s="1" t="s">
        <v>5377</v>
      </c>
      <c r="C1441" s="1" t="s">
        <v>5378</v>
      </c>
      <c r="D1441" s="1" t="s">
        <v>5379</v>
      </c>
      <c r="E1441" s="1" t="s">
        <v>5380</v>
      </c>
      <c r="F1441" s="1" t="s">
        <v>1030</v>
      </c>
      <c r="G1441" s="1">
        <v>683101</v>
      </c>
      <c r="H1441" s="1">
        <v>37.5</v>
      </c>
    </row>
    <row r="1442" spans="1:8" ht="21.75" customHeight="1">
      <c r="A1442" s="1" t="str">
        <f>"IN30023911845183"</f>
        <v>IN30023911845183</v>
      </c>
      <c r="B1442" s="1" t="s">
        <v>5381</v>
      </c>
      <c r="C1442" s="1" t="s">
        <v>5382</v>
      </c>
      <c r="D1442" s="1" t="s">
        <v>5383</v>
      </c>
      <c r="E1442" s="1" t="s">
        <v>5384</v>
      </c>
      <c r="F1442" s="1"/>
      <c r="G1442" s="1">
        <v>683104</v>
      </c>
      <c r="H1442" s="1">
        <v>18.75</v>
      </c>
    </row>
    <row r="1443" spans="1:8" ht="21.75" customHeight="1">
      <c r="A1443" s="1" t="str">
        <f>"1202980000388183"</f>
        <v>1202980000388183</v>
      </c>
      <c r="B1443" s="1" t="s">
        <v>5385</v>
      </c>
      <c r="C1443" s="1" t="s">
        <v>5386</v>
      </c>
      <c r="D1443" s="1" t="s">
        <v>5387</v>
      </c>
      <c r="E1443" s="1" t="s">
        <v>5388</v>
      </c>
      <c r="F1443" s="1" t="s">
        <v>5389</v>
      </c>
      <c r="G1443" s="1">
        <v>683513</v>
      </c>
      <c r="H1443" s="1">
        <v>37.5</v>
      </c>
    </row>
    <row r="1444" spans="1:8" ht="21.75" customHeight="1">
      <c r="A1444" s="1" t="str">
        <f>"1204470003346095"</f>
        <v>1204470003346095</v>
      </c>
      <c r="B1444" s="1" t="s">
        <v>5390</v>
      </c>
      <c r="C1444" s="1" t="s">
        <v>5391</v>
      </c>
      <c r="D1444" s="1" t="s">
        <v>5392</v>
      </c>
      <c r="E1444" s="1" t="s">
        <v>5393</v>
      </c>
      <c r="F1444" s="1" t="s">
        <v>54</v>
      </c>
      <c r="G1444" s="1">
        <v>683514</v>
      </c>
      <c r="H1444" s="1">
        <v>28.5</v>
      </c>
    </row>
    <row r="1445" spans="1:8" ht="21.75" customHeight="1">
      <c r="A1445" s="1" t="str">
        <f>"1203280000511471"</f>
        <v>1203280000511471</v>
      </c>
      <c r="B1445" s="1" t="s">
        <v>5394</v>
      </c>
      <c r="C1445" s="1" t="s">
        <v>5395</v>
      </c>
      <c r="D1445" s="1" t="s">
        <v>5396</v>
      </c>
      <c r="E1445" s="1" t="s">
        <v>5397</v>
      </c>
      <c r="F1445" s="1" t="s">
        <v>54</v>
      </c>
      <c r="G1445" s="1">
        <v>683517</v>
      </c>
      <c r="H1445" s="1">
        <v>7.5</v>
      </c>
    </row>
    <row r="1446" spans="1:8" ht="21.75" customHeight="1">
      <c r="A1446" s="1" t="str">
        <f>"1203280000233497"</f>
        <v>1203280000233497</v>
      </c>
      <c r="B1446" s="1" t="s">
        <v>5399</v>
      </c>
      <c r="C1446" s="1" t="s">
        <v>5400</v>
      </c>
      <c r="D1446" s="1" t="s">
        <v>5401</v>
      </c>
      <c r="E1446" s="1"/>
      <c r="F1446" s="1" t="s">
        <v>5402</v>
      </c>
      <c r="G1446" s="1">
        <v>683548</v>
      </c>
      <c r="H1446" s="1">
        <v>450</v>
      </c>
    </row>
    <row r="1447" spans="1:8" ht="21.75" customHeight="1">
      <c r="A1447" s="1" t="str">
        <f>"1204470005300078"</f>
        <v>1204470005300078</v>
      </c>
      <c r="B1447" s="1" t="s">
        <v>5403</v>
      </c>
      <c r="C1447" s="1" t="s">
        <v>5404</v>
      </c>
      <c r="D1447" s="1" t="s">
        <v>5405</v>
      </c>
      <c r="E1447" s="1"/>
      <c r="F1447" s="1" t="s">
        <v>54</v>
      </c>
      <c r="G1447" s="1">
        <v>683549</v>
      </c>
      <c r="H1447" s="1">
        <v>0.75</v>
      </c>
    </row>
    <row r="1448" spans="1:8" ht="21.75" customHeight="1">
      <c r="A1448" s="1" t="str">
        <f>"IN30429528816120"</f>
        <v>IN30429528816120</v>
      </c>
      <c r="B1448" s="1" t="s">
        <v>5406</v>
      </c>
      <c r="C1448" s="1" t="s">
        <v>5407</v>
      </c>
      <c r="D1448" s="1" t="s">
        <v>5408</v>
      </c>
      <c r="E1448" s="1" t="s">
        <v>5409</v>
      </c>
      <c r="F1448" s="1"/>
      <c r="G1448" s="1">
        <v>683556</v>
      </c>
      <c r="H1448" s="1">
        <v>0.75</v>
      </c>
    </row>
    <row r="1449" spans="1:8" ht="21.75" customHeight="1">
      <c r="A1449" s="1" t="str">
        <f>"1203280000359037"</f>
        <v>1203280000359037</v>
      </c>
      <c r="B1449" s="1" t="s">
        <v>5410</v>
      </c>
      <c r="C1449" s="1" t="s">
        <v>5411</v>
      </c>
      <c r="D1449" s="1" t="s">
        <v>5412</v>
      </c>
      <c r="E1449" s="1" t="s">
        <v>1030</v>
      </c>
      <c r="F1449" s="1" t="s">
        <v>54</v>
      </c>
      <c r="G1449" s="1">
        <v>683564</v>
      </c>
      <c r="H1449" s="1">
        <v>2.25</v>
      </c>
    </row>
    <row r="1450" spans="1:8" ht="21.75" customHeight="1">
      <c r="A1450" s="1" t="str">
        <f>"IN30051318773045"</f>
        <v>IN30051318773045</v>
      </c>
      <c r="B1450" s="1" t="s">
        <v>5413</v>
      </c>
      <c r="C1450" s="1" t="s">
        <v>5414</v>
      </c>
      <c r="D1450" s="1" t="s">
        <v>5415</v>
      </c>
      <c r="E1450" s="1" t="s">
        <v>5416</v>
      </c>
      <c r="F1450" s="1"/>
      <c r="G1450" s="1">
        <v>683576</v>
      </c>
      <c r="H1450" s="1">
        <v>60</v>
      </c>
    </row>
    <row r="1451" spans="1:8" ht="21.75" customHeight="1">
      <c r="A1451" s="1" t="str">
        <f>"1208160062877972"</f>
        <v>1208160062877972</v>
      </c>
      <c r="B1451" s="1" t="s">
        <v>5417</v>
      </c>
      <c r="C1451" s="1" t="s">
        <v>5418</v>
      </c>
      <c r="D1451" s="1" t="s">
        <v>5419</v>
      </c>
      <c r="E1451" s="1"/>
      <c r="F1451" s="1" t="s">
        <v>54</v>
      </c>
      <c r="G1451" s="1">
        <v>683581</v>
      </c>
      <c r="H1451" s="1">
        <v>11.25</v>
      </c>
    </row>
    <row r="1452" spans="1:8" ht="21.75" customHeight="1">
      <c r="A1452" s="1" t="str">
        <f>"1204720000008149"</f>
        <v>1204720000008149</v>
      </c>
      <c r="B1452" s="1" t="s">
        <v>5420</v>
      </c>
      <c r="C1452" s="1" t="s">
        <v>5421</v>
      </c>
      <c r="D1452" s="1" t="s">
        <v>5422</v>
      </c>
      <c r="E1452" s="1" t="s">
        <v>5423</v>
      </c>
      <c r="F1452" s="1" t="s">
        <v>48</v>
      </c>
      <c r="G1452" s="1">
        <v>685102</v>
      </c>
      <c r="H1452" s="1">
        <v>2.25</v>
      </c>
    </row>
    <row r="1453" spans="1:8" ht="21.75" customHeight="1">
      <c r="A1453" s="1" t="str">
        <f>"1206370000009807"</f>
        <v>1206370000009807</v>
      </c>
      <c r="B1453" s="1" t="s">
        <v>5425</v>
      </c>
      <c r="C1453" s="1" t="s">
        <v>5426</v>
      </c>
      <c r="D1453" s="1" t="s">
        <v>5427</v>
      </c>
      <c r="E1453" s="1"/>
      <c r="F1453" s="1" t="s">
        <v>5424</v>
      </c>
      <c r="G1453" s="1">
        <v>685506</v>
      </c>
      <c r="H1453" s="1">
        <v>11.25</v>
      </c>
    </row>
    <row r="1454" spans="1:8" ht="21.75" customHeight="1">
      <c r="A1454" s="1" t="str">
        <f>"IN30051319688454"</f>
        <v>IN30051319688454</v>
      </c>
      <c r="B1454" s="1" t="s">
        <v>5429</v>
      </c>
      <c r="C1454" s="1" t="s">
        <v>5430</v>
      </c>
      <c r="D1454" s="1" t="s">
        <v>5431</v>
      </c>
      <c r="E1454" s="1" t="s">
        <v>5432</v>
      </c>
      <c r="F1454" s="1"/>
      <c r="G1454" s="1">
        <v>685565</v>
      </c>
      <c r="H1454" s="1">
        <v>60.75</v>
      </c>
    </row>
    <row r="1455" spans="1:8" ht="21.75" customHeight="1">
      <c r="A1455" s="1" t="str">
        <f>"IN30023914586197"</f>
        <v>IN30023914586197</v>
      </c>
      <c r="B1455" s="1" t="s">
        <v>5433</v>
      </c>
      <c r="C1455" s="1" t="s">
        <v>5434</v>
      </c>
      <c r="D1455" s="1" t="s">
        <v>5435</v>
      </c>
      <c r="E1455" s="1" t="s">
        <v>5436</v>
      </c>
      <c r="F1455" s="1"/>
      <c r="G1455" s="1">
        <v>685584</v>
      </c>
      <c r="H1455" s="1">
        <v>112.5</v>
      </c>
    </row>
    <row r="1456" spans="1:8" ht="21.75" customHeight="1">
      <c r="A1456" s="1" t="str">
        <f>"IN30311611222287"</f>
        <v>IN30311611222287</v>
      </c>
      <c r="B1456" s="1" t="s">
        <v>5437</v>
      </c>
      <c r="C1456" s="1" t="s">
        <v>5438</v>
      </c>
      <c r="D1456" s="1" t="s">
        <v>5439</v>
      </c>
      <c r="E1456" s="1" t="s">
        <v>5440</v>
      </c>
      <c r="F1456" s="1"/>
      <c r="G1456" s="1">
        <v>685602</v>
      </c>
      <c r="H1456" s="1">
        <v>5.25</v>
      </c>
    </row>
    <row r="1457" spans="1:8" ht="21.75" customHeight="1">
      <c r="A1457" s="1" t="str">
        <f>"1204920001901676"</f>
        <v>1204920001901676</v>
      </c>
      <c r="B1457" s="1" t="s">
        <v>5441</v>
      </c>
      <c r="C1457" s="1" t="s">
        <v>5442</v>
      </c>
      <c r="D1457" s="1" t="s">
        <v>5443</v>
      </c>
      <c r="E1457" s="1"/>
      <c r="F1457" s="1" t="s">
        <v>5424</v>
      </c>
      <c r="G1457" s="1">
        <v>685607</v>
      </c>
      <c r="H1457" s="1">
        <v>2.25</v>
      </c>
    </row>
    <row r="1458" spans="1:8" ht="21.75" customHeight="1">
      <c r="A1458" s="1" t="str">
        <f>"1202980000306464"</f>
        <v>1202980000306464</v>
      </c>
      <c r="B1458" s="1" t="s">
        <v>5444</v>
      </c>
      <c r="C1458" s="1" t="s">
        <v>5426</v>
      </c>
      <c r="D1458" s="1" t="s">
        <v>5445</v>
      </c>
      <c r="E1458" s="1"/>
      <c r="F1458" s="1" t="s">
        <v>59</v>
      </c>
      <c r="G1458" s="1">
        <v>686001</v>
      </c>
      <c r="H1458" s="1">
        <v>75</v>
      </c>
    </row>
    <row r="1459" spans="1:8" ht="21.75" customHeight="1">
      <c r="A1459" s="1" t="str">
        <f>"1201090004448443"</f>
        <v>1201090004448443</v>
      </c>
      <c r="B1459" s="1" t="s">
        <v>5446</v>
      </c>
      <c r="C1459" s="1" t="s">
        <v>5447</v>
      </c>
      <c r="D1459" s="1" t="s">
        <v>5448</v>
      </c>
      <c r="E1459" s="1"/>
      <c r="F1459" s="1" t="s">
        <v>59</v>
      </c>
      <c r="G1459" s="1">
        <v>686008</v>
      </c>
      <c r="H1459" s="1">
        <v>15.75</v>
      </c>
    </row>
    <row r="1460" spans="1:8" ht="21.75" customHeight="1">
      <c r="A1460" s="1" t="str">
        <f>"1203280000214309"</f>
        <v>1203280000214309</v>
      </c>
      <c r="B1460" s="1" t="s">
        <v>5449</v>
      </c>
      <c r="C1460" s="1" t="s">
        <v>5450</v>
      </c>
      <c r="D1460" s="1" t="s">
        <v>5451</v>
      </c>
      <c r="E1460" s="1"/>
      <c r="F1460" s="1" t="s">
        <v>59</v>
      </c>
      <c r="G1460" s="1">
        <v>686029</v>
      </c>
      <c r="H1460" s="1">
        <v>375</v>
      </c>
    </row>
    <row r="1461" spans="1:8" ht="21.75" customHeight="1">
      <c r="A1461" s="1" t="str">
        <f>"1201090012839548"</f>
        <v>1201090012839548</v>
      </c>
      <c r="B1461" s="1" t="s">
        <v>5452</v>
      </c>
      <c r="C1461" s="1" t="s">
        <v>5453</v>
      </c>
      <c r="D1461" s="1" t="s">
        <v>5454</v>
      </c>
      <c r="E1461" s="1" t="s">
        <v>5455</v>
      </c>
      <c r="F1461" s="1" t="s">
        <v>59</v>
      </c>
      <c r="G1461" s="1">
        <v>686101</v>
      </c>
      <c r="H1461" s="1">
        <v>51</v>
      </c>
    </row>
    <row r="1462" spans="1:8" ht="21.75" customHeight="1">
      <c r="A1462" s="1" t="str">
        <f>"1204920002327555"</f>
        <v>1204920002327555</v>
      </c>
      <c r="B1462" s="1" t="s">
        <v>5456</v>
      </c>
      <c r="C1462" s="1" t="s">
        <v>5457</v>
      </c>
      <c r="D1462" s="1" t="s">
        <v>5458</v>
      </c>
      <c r="E1462" s="1" t="s">
        <v>410</v>
      </c>
      <c r="F1462" s="1" t="s">
        <v>59</v>
      </c>
      <c r="G1462" s="1">
        <v>686518</v>
      </c>
      <c r="H1462" s="1">
        <v>0.75</v>
      </c>
    </row>
    <row r="1463" spans="1:8" ht="21.75" customHeight="1">
      <c r="A1463" s="1" t="str">
        <f>"IN30023913435882"</f>
        <v>IN30023913435882</v>
      </c>
      <c r="B1463" s="1" t="s">
        <v>5459</v>
      </c>
      <c r="C1463" s="1" t="s">
        <v>5460</v>
      </c>
      <c r="D1463" s="1" t="s">
        <v>5461</v>
      </c>
      <c r="E1463" s="1" t="s">
        <v>5462</v>
      </c>
      <c r="F1463" s="1"/>
      <c r="G1463" s="1">
        <v>686520</v>
      </c>
      <c r="H1463" s="1">
        <v>56.25</v>
      </c>
    </row>
    <row r="1464" spans="1:8" ht="21.75" customHeight="1">
      <c r="A1464" s="1" t="str">
        <f>"1201060002202824"</f>
        <v>1201060002202824</v>
      </c>
      <c r="B1464" s="1" t="s">
        <v>5463</v>
      </c>
      <c r="C1464" s="1" t="s">
        <v>5464</v>
      </c>
      <c r="D1464" s="1" t="s">
        <v>5465</v>
      </c>
      <c r="E1464" s="1" t="s">
        <v>5466</v>
      </c>
      <c r="F1464" s="1" t="s">
        <v>5466</v>
      </c>
      <c r="G1464" s="1">
        <v>686538</v>
      </c>
      <c r="H1464" s="1">
        <v>79.5</v>
      </c>
    </row>
    <row r="1465" spans="1:8" ht="21.75" customHeight="1">
      <c r="A1465" s="1" t="str">
        <f>"IN30023914314079"</f>
        <v>IN30023914314079</v>
      </c>
      <c r="B1465" s="1" t="s">
        <v>5467</v>
      </c>
      <c r="C1465" s="1" t="s">
        <v>5468</v>
      </c>
      <c r="D1465" s="1" t="s">
        <v>5469</v>
      </c>
      <c r="E1465" s="1" t="s">
        <v>5470</v>
      </c>
      <c r="F1465" s="1"/>
      <c r="G1465" s="1">
        <v>686542</v>
      </c>
      <c r="H1465" s="1">
        <v>12.75</v>
      </c>
    </row>
    <row r="1466" spans="1:8" ht="21.75" customHeight="1">
      <c r="A1466" s="1" t="str">
        <f>"1204760000158295"</f>
        <v>1204760000158295</v>
      </c>
      <c r="B1466" s="1" t="s">
        <v>5471</v>
      </c>
      <c r="C1466" s="1" t="s">
        <v>5472</v>
      </c>
      <c r="D1466" s="1" t="s">
        <v>5473</v>
      </c>
      <c r="E1466" s="1"/>
      <c r="F1466" s="1" t="s">
        <v>59</v>
      </c>
      <c r="G1466" s="1">
        <v>686572</v>
      </c>
      <c r="H1466" s="1">
        <v>137.25</v>
      </c>
    </row>
    <row r="1467" spans="1:8" ht="21.75" customHeight="1">
      <c r="A1467" s="1" t="str">
        <f>"IN30023914138484"</f>
        <v>IN30023914138484</v>
      </c>
      <c r="B1467" s="1" t="s">
        <v>5474</v>
      </c>
      <c r="C1467" s="1" t="s">
        <v>5475</v>
      </c>
      <c r="D1467" s="1" t="s">
        <v>5476</v>
      </c>
      <c r="E1467" s="1" t="s">
        <v>5477</v>
      </c>
      <c r="F1467" s="1"/>
      <c r="G1467" s="1">
        <v>686585</v>
      </c>
      <c r="H1467" s="1">
        <v>1.5</v>
      </c>
    </row>
    <row r="1468" spans="1:8" ht="21.75" customHeight="1">
      <c r="A1468" s="1" t="str">
        <f>"1304140006694916"</f>
        <v>1304140006694916</v>
      </c>
      <c r="B1468" s="1" t="s">
        <v>5478</v>
      </c>
      <c r="C1468" s="1" t="s">
        <v>5479</v>
      </c>
      <c r="D1468" s="1" t="s">
        <v>5480</v>
      </c>
      <c r="E1468" s="1"/>
      <c r="F1468" s="1" t="s">
        <v>59</v>
      </c>
      <c r="G1468" s="1">
        <v>686602</v>
      </c>
      <c r="H1468" s="1">
        <v>4.25</v>
      </c>
    </row>
    <row r="1469" spans="1:8" ht="21.75" customHeight="1">
      <c r="A1469" s="1" t="str">
        <f>"IN30189511123445"</f>
        <v>IN30189511123445</v>
      </c>
      <c r="B1469" s="1" t="s">
        <v>5481</v>
      </c>
      <c r="C1469" s="1" t="s">
        <v>5482</v>
      </c>
      <c r="D1469" s="1" t="s">
        <v>5483</v>
      </c>
      <c r="E1469" s="1" t="s">
        <v>5484</v>
      </c>
      <c r="F1469" s="1"/>
      <c r="G1469" s="1">
        <v>686617</v>
      </c>
      <c r="H1469" s="1">
        <v>731.25</v>
      </c>
    </row>
    <row r="1470" spans="1:8" ht="21.75" customHeight="1">
      <c r="A1470" s="1" t="str">
        <f>"IN30023913352807"</f>
        <v>IN30023913352807</v>
      </c>
      <c r="B1470" s="1" t="s">
        <v>5485</v>
      </c>
      <c r="C1470" s="1" t="s">
        <v>5486</v>
      </c>
      <c r="D1470" s="1" t="s">
        <v>5487</v>
      </c>
      <c r="E1470" s="1" t="s">
        <v>5488</v>
      </c>
      <c r="F1470" s="1"/>
      <c r="G1470" s="1">
        <v>686671</v>
      </c>
      <c r="H1470" s="1">
        <v>5.25</v>
      </c>
    </row>
    <row r="1471" spans="1:8" ht="21.75" customHeight="1">
      <c r="A1471" s="1" t="str">
        <f>"IN30023912685152"</f>
        <v>IN30023912685152</v>
      </c>
      <c r="B1471" s="1" t="s">
        <v>5489</v>
      </c>
      <c r="C1471" s="1" t="s">
        <v>5490</v>
      </c>
      <c r="D1471" s="1" t="s">
        <v>5491</v>
      </c>
      <c r="E1471" s="1" t="s">
        <v>54</v>
      </c>
      <c r="F1471" s="1"/>
      <c r="G1471" s="1">
        <v>686673</v>
      </c>
      <c r="H1471" s="1">
        <v>22.5</v>
      </c>
    </row>
    <row r="1472" spans="1:8" ht="21.75" customHeight="1">
      <c r="A1472" s="1" t="str">
        <f>"1208180008175798"</f>
        <v>1208180008175798</v>
      </c>
      <c r="B1472" s="1" t="s">
        <v>5493</v>
      </c>
      <c r="C1472" s="1" t="s">
        <v>5494</v>
      </c>
      <c r="D1472" s="1" t="s">
        <v>5495</v>
      </c>
      <c r="E1472" s="1"/>
      <c r="F1472" s="1" t="s">
        <v>54</v>
      </c>
      <c r="G1472" s="1">
        <v>686691</v>
      </c>
      <c r="H1472" s="1">
        <v>18.75</v>
      </c>
    </row>
    <row r="1473" spans="1:8" ht="21.75" customHeight="1">
      <c r="A1473" s="1" t="str">
        <f>"1203320007085413"</f>
        <v>1203320007085413</v>
      </c>
      <c r="B1473" s="1" t="s">
        <v>5498</v>
      </c>
      <c r="C1473" s="1" t="s">
        <v>5499</v>
      </c>
      <c r="D1473" s="1" t="s">
        <v>5500</v>
      </c>
      <c r="E1473" s="1" t="s">
        <v>5501</v>
      </c>
      <c r="F1473" s="1" t="s">
        <v>5497</v>
      </c>
      <c r="G1473" s="1">
        <v>688534</v>
      </c>
      <c r="H1473" s="1">
        <v>31.5</v>
      </c>
    </row>
    <row r="1474" spans="1:8" ht="21.75" customHeight="1">
      <c r="A1474" s="1" t="str">
        <f>"1205670000144666"</f>
        <v>1205670000144666</v>
      </c>
      <c r="B1474" s="1" t="s">
        <v>5502</v>
      </c>
      <c r="C1474" s="1" t="s">
        <v>5503</v>
      </c>
      <c r="D1474" s="1" t="s">
        <v>5504</v>
      </c>
      <c r="E1474" s="1" t="s">
        <v>5428</v>
      </c>
      <c r="F1474" s="1" t="s">
        <v>470</v>
      </c>
      <c r="G1474" s="1">
        <v>689112</v>
      </c>
      <c r="H1474" s="1">
        <v>60</v>
      </c>
    </row>
    <row r="1475" spans="1:8" ht="21.75" customHeight="1">
      <c r="A1475" s="1" t="str">
        <f>"IN30021414112812"</f>
        <v>IN30021414112812</v>
      </c>
      <c r="B1475" s="1" t="s">
        <v>5505</v>
      </c>
      <c r="C1475" s="1" t="s">
        <v>5506</v>
      </c>
      <c r="D1475" s="1" t="s">
        <v>5507</v>
      </c>
      <c r="E1475" s="1" t="s">
        <v>5508</v>
      </c>
      <c r="F1475" s="1"/>
      <c r="G1475" s="1">
        <v>689573</v>
      </c>
      <c r="H1475" s="1">
        <v>1406.25</v>
      </c>
    </row>
    <row r="1476" spans="1:8" ht="21.75" customHeight="1">
      <c r="A1476" s="1" t="str">
        <f>"1205670000422917"</f>
        <v>1205670000422917</v>
      </c>
      <c r="B1476" s="1" t="s">
        <v>5509</v>
      </c>
      <c r="C1476" s="1" t="s">
        <v>5510</v>
      </c>
      <c r="D1476" s="1" t="s">
        <v>5511</v>
      </c>
      <c r="E1476" s="1" t="s">
        <v>470</v>
      </c>
      <c r="F1476" s="1" t="s">
        <v>470</v>
      </c>
      <c r="G1476" s="1">
        <v>689671</v>
      </c>
      <c r="H1476" s="1">
        <v>51.75</v>
      </c>
    </row>
    <row r="1477" spans="1:8" ht="21.75" customHeight="1">
      <c r="A1477" s="1" t="str">
        <f>"1204470006262085"</f>
        <v>1204470006262085</v>
      </c>
      <c r="B1477" s="1" t="s">
        <v>5512</v>
      </c>
      <c r="C1477" s="1" t="s">
        <v>5513</v>
      </c>
      <c r="D1477" s="1" t="s">
        <v>5514</v>
      </c>
      <c r="E1477" s="1" t="s">
        <v>5515</v>
      </c>
      <c r="F1477" s="1" t="s">
        <v>608</v>
      </c>
      <c r="G1477" s="1">
        <v>690101</v>
      </c>
      <c r="H1477" s="1">
        <v>286.5</v>
      </c>
    </row>
    <row r="1478" spans="1:8" ht="21.75" customHeight="1">
      <c r="A1478" s="1" t="str">
        <f>"1208160056144801"</f>
        <v>1208160056144801</v>
      </c>
      <c r="B1478" s="1" t="s">
        <v>5516</v>
      </c>
      <c r="C1478" s="1" t="s">
        <v>5517</v>
      </c>
      <c r="D1478" s="1" t="s">
        <v>5518</v>
      </c>
      <c r="E1478" s="1"/>
      <c r="F1478" s="1" t="s">
        <v>5497</v>
      </c>
      <c r="G1478" s="1">
        <v>690102</v>
      </c>
      <c r="H1478" s="1">
        <v>1.5</v>
      </c>
    </row>
    <row r="1479" spans="1:8" ht="21.75" customHeight="1">
      <c r="A1479" s="1" t="str">
        <f>"IN30429520100679"</f>
        <v>IN30429520100679</v>
      </c>
      <c r="B1479" s="1" t="s">
        <v>5519</v>
      </c>
      <c r="C1479" s="1" t="s">
        <v>5520</v>
      </c>
      <c r="D1479" s="1" t="s">
        <v>5521</v>
      </c>
      <c r="E1479" s="1" t="s">
        <v>5522</v>
      </c>
      <c r="F1479" s="1"/>
      <c r="G1479" s="1">
        <v>690103</v>
      </c>
      <c r="H1479" s="1">
        <v>750</v>
      </c>
    </row>
    <row r="1480" spans="1:8" ht="21.75" customHeight="1">
      <c r="A1480" s="1" t="str">
        <f>"IN30226912597720"</f>
        <v>IN30226912597720</v>
      </c>
      <c r="B1480" s="1" t="s">
        <v>5523</v>
      </c>
      <c r="C1480" s="1" t="s">
        <v>5524</v>
      </c>
      <c r="D1480" s="1" t="s">
        <v>5525</v>
      </c>
      <c r="E1480" s="1" t="s">
        <v>509</v>
      </c>
      <c r="F1480" s="1"/>
      <c r="G1480" s="1">
        <v>690107</v>
      </c>
      <c r="H1480" s="1">
        <v>75</v>
      </c>
    </row>
    <row r="1481" spans="1:8" ht="21.75" customHeight="1">
      <c r="A1481" s="1" t="str">
        <f>"1204470005256249"</f>
        <v>1204470005256249</v>
      </c>
      <c r="B1481" s="1" t="s">
        <v>5526</v>
      </c>
      <c r="C1481" s="1" t="s">
        <v>5527</v>
      </c>
      <c r="D1481" s="1" t="s">
        <v>5528</v>
      </c>
      <c r="E1481" s="1" t="s">
        <v>608</v>
      </c>
      <c r="F1481" s="1" t="s">
        <v>5497</v>
      </c>
      <c r="G1481" s="1">
        <v>690110</v>
      </c>
      <c r="H1481" s="1">
        <v>37.5</v>
      </c>
    </row>
    <row r="1482" spans="1:8" ht="21.75" customHeight="1">
      <c r="A1482" s="1" t="str">
        <f>"1203320006873722"</f>
        <v>1203320006873722</v>
      </c>
      <c r="B1482" s="1" t="s">
        <v>5529</v>
      </c>
      <c r="C1482" s="1" t="s">
        <v>5530</v>
      </c>
      <c r="D1482" s="1" t="s">
        <v>5531</v>
      </c>
      <c r="E1482" s="1"/>
      <c r="F1482" s="1" t="s">
        <v>5532</v>
      </c>
      <c r="G1482" s="1">
        <v>690514</v>
      </c>
      <c r="H1482" s="1">
        <v>24</v>
      </c>
    </row>
    <row r="1483" spans="1:8" ht="21.75" customHeight="1">
      <c r="A1483" s="1" t="str">
        <f>"1205670000288099"</f>
        <v>1205670000288099</v>
      </c>
      <c r="B1483" s="1" t="s">
        <v>5533</v>
      </c>
      <c r="C1483" s="1" t="s">
        <v>5534</v>
      </c>
      <c r="D1483" s="1" t="s">
        <v>5535</v>
      </c>
      <c r="E1483" s="1" t="s">
        <v>5536</v>
      </c>
      <c r="F1483" s="1" t="s">
        <v>614</v>
      </c>
      <c r="G1483" s="1">
        <v>690518</v>
      </c>
      <c r="H1483" s="1">
        <v>21</v>
      </c>
    </row>
    <row r="1484" spans="1:8" ht="21.75" customHeight="1">
      <c r="A1484" s="1" t="str">
        <f>"1204890000393722"</f>
        <v>1204890000393722</v>
      </c>
      <c r="B1484" s="1" t="s">
        <v>5537</v>
      </c>
      <c r="C1484" s="1" t="s">
        <v>5538</v>
      </c>
      <c r="D1484" s="1" t="s">
        <v>5539</v>
      </c>
      <c r="E1484" s="1" t="s">
        <v>5540</v>
      </c>
      <c r="F1484" s="1" t="s">
        <v>614</v>
      </c>
      <c r="G1484" s="1">
        <v>691001</v>
      </c>
      <c r="H1484" s="1">
        <v>2.25</v>
      </c>
    </row>
    <row r="1485" spans="1:8" ht="21.75" customHeight="1">
      <c r="A1485" s="1" t="str">
        <f>"1201090012873980"</f>
        <v>1201090012873980</v>
      </c>
      <c r="B1485" s="1" t="s">
        <v>5541</v>
      </c>
      <c r="C1485" s="1" t="s">
        <v>5542</v>
      </c>
      <c r="D1485" s="1" t="s">
        <v>1053</v>
      </c>
      <c r="E1485" s="1" t="s">
        <v>5543</v>
      </c>
      <c r="F1485" s="1" t="s">
        <v>614</v>
      </c>
      <c r="G1485" s="1">
        <v>691001</v>
      </c>
      <c r="H1485" s="1">
        <v>186</v>
      </c>
    </row>
    <row r="1486" spans="1:8" ht="21.75" customHeight="1">
      <c r="A1486" s="1" t="str">
        <f>"1203280000305510"</f>
        <v>1203280000305510</v>
      </c>
      <c r="B1486" s="1" t="s">
        <v>5544</v>
      </c>
      <c r="C1486" s="1" t="s">
        <v>5545</v>
      </c>
      <c r="D1486" s="1" t="s">
        <v>5546</v>
      </c>
      <c r="E1486" s="1" t="s">
        <v>5547</v>
      </c>
      <c r="F1486" s="1" t="s">
        <v>614</v>
      </c>
      <c r="G1486" s="1">
        <v>691003</v>
      </c>
      <c r="H1486" s="1">
        <v>7.5</v>
      </c>
    </row>
    <row r="1487" spans="1:8" ht="21.75" customHeight="1">
      <c r="A1487" s="1" t="str">
        <f>"1201090012680027"</f>
        <v>1201090012680027</v>
      </c>
      <c r="B1487" s="1" t="s">
        <v>5548</v>
      </c>
      <c r="C1487" s="1" t="s">
        <v>5549</v>
      </c>
      <c r="D1487" s="1" t="s">
        <v>5550</v>
      </c>
      <c r="E1487" s="1" t="s">
        <v>5551</v>
      </c>
      <c r="F1487" s="1" t="s">
        <v>614</v>
      </c>
      <c r="G1487" s="1">
        <v>691010</v>
      </c>
      <c r="H1487" s="1">
        <v>211.5</v>
      </c>
    </row>
    <row r="1488" spans="1:8" ht="21.75" customHeight="1">
      <c r="A1488" s="1" t="str">
        <f>"IN30023916351346"</f>
        <v>IN30023916351346</v>
      </c>
      <c r="B1488" s="1" t="s">
        <v>5552</v>
      </c>
      <c r="C1488" s="1" t="s">
        <v>5553</v>
      </c>
      <c r="D1488" s="1" t="s">
        <v>5554</v>
      </c>
      <c r="E1488" s="1" t="s">
        <v>5555</v>
      </c>
      <c r="F1488" s="1"/>
      <c r="G1488" s="1">
        <v>691012</v>
      </c>
      <c r="H1488" s="1">
        <v>82.5</v>
      </c>
    </row>
    <row r="1489" spans="1:8" ht="21.75" customHeight="1">
      <c r="A1489" s="1" t="str">
        <f>"IN30051317809070"</f>
        <v>IN30051317809070</v>
      </c>
      <c r="B1489" s="1" t="s">
        <v>5556</v>
      </c>
      <c r="C1489" s="1" t="s">
        <v>5557</v>
      </c>
      <c r="D1489" s="1" t="s">
        <v>5558</v>
      </c>
      <c r="E1489" s="1" t="s">
        <v>5559</v>
      </c>
      <c r="F1489" s="1"/>
      <c r="G1489" s="1">
        <v>691571</v>
      </c>
      <c r="H1489" s="1">
        <v>82.5</v>
      </c>
    </row>
    <row r="1490" spans="1:8" ht="21.75" customHeight="1">
      <c r="A1490" s="1" t="str">
        <f>"1205670000108190"</f>
        <v>1205670000108190</v>
      </c>
      <c r="B1490" s="1" t="s">
        <v>5560</v>
      </c>
      <c r="C1490" s="1" t="s">
        <v>5561</v>
      </c>
      <c r="D1490" s="1" t="s">
        <v>5562</v>
      </c>
      <c r="E1490" s="1" t="s">
        <v>5563</v>
      </c>
      <c r="F1490" s="1" t="s">
        <v>614</v>
      </c>
      <c r="G1490" s="1">
        <v>691583</v>
      </c>
      <c r="H1490" s="1">
        <v>75</v>
      </c>
    </row>
    <row r="1491" spans="1:8" ht="21.75" customHeight="1">
      <c r="A1491" s="1" t="str">
        <f>"IN30163741145129"</f>
        <v>IN30163741145129</v>
      </c>
      <c r="B1491" s="1" t="s">
        <v>5564</v>
      </c>
      <c r="C1491" s="1" t="s">
        <v>5565</v>
      </c>
      <c r="D1491" s="1" t="s">
        <v>5566</v>
      </c>
      <c r="E1491" s="1" t="s">
        <v>5567</v>
      </c>
      <c r="F1491" s="1"/>
      <c r="G1491" s="1">
        <v>695005</v>
      </c>
      <c r="H1491" s="1">
        <v>225</v>
      </c>
    </row>
    <row r="1492" spans="1:8" ht="21.75" customHeight="1">
      <c r="A1492" s="1" t="str">
        <f>"IN30302858018571"</f>
        <v>IN30302858018571</v>
      </c>
      <c r="B1492" s="1" t="s">
        <v>5568</v>
      </c>
      <c r="C1492" s="1" t="s">
        <v>5569</v>
      </c>
      <c r="D1492" s="1" t="s">
        <v>5570</v>
      </c>
      <c r="E1492" s="1" t="s">
        <v>5571</v>
      </c>
      <c r="F1492" s="1"/>
      <c r="G1492" s="1">
        <v>695007</v>
      </c>
      <c r="H1492" s="1">
        <v>0.75</v>
      </c>
    </row>
    <row r="1493" spans="1:8" ht="21.75" customHeight="1">
      <c r="A1493" s="1" t="str">
        <f>"1202980000249818"</f>
        <v>1202980000249818</v>
      </c>
      <c r="B1493" s="1" t="s">
        <v>5573</v>
      </c>
      <c r="C1493" s="1" t="s">
        <v>5574</v>
      </c>
      <c r="D1493" s="1" t="s">
        <v>5575</v>
      </c>
      <c r="E1493" s="1" t="s">
        <v>5576</v>
      </c>
      <c r="F1493" s="1" t="s">
        <v>5572</v>
      </c>
      <c r="G1493" s="1">
        <v>695009</v>
      </c>
      <c r="H1493" s="1">
        <v>352.5</v>
      </c>
    </row>
    <row r="1494" spans="1:8" ht="21.75" customHeight="1">
      <c r="A1494" s="1" t="str">
        <f>"1204470006132167"</f>
        <v>1204470006132167</v>
      </c>
      <c r="B1494" s="1" t="s">
        <v>5577</v>
      </c>
      <c r="C1494" s="1" t="s">
        <v>5578</v>
      </c>
      <c r="D1494" s="1" t="s">
        <v>5579</v>
      </c>
      <c r="E1494" s="1" t="s">
        <v>5580</v>
      </c>
      <c r="F1494" s="1" t="s">
        <v>615</v>
      </c>
      <c r="G1494" s="1">
        <v>695011</v>
      </c>
      <c r="H1494" s="1">
        <v>372</v>
      </c>
    </row>
    <row r="1495" spans="1:8" ht="21.75" customHeight="1">
      <c r="A1495" s="1" t="str">
        <f>"IN30226913584329"</f>
        <v>IN30226913584329</v>
      </c>
      <c r="B1495" s="1" t="s">
        <v>5581</v>
      </c>
      <c r="C1495" s="1" t="s">
        <v>5582</v>
      </c>
      <c r="D1495" s="1" t="s">
        <v>5583</v>
      </c>
      <c r="E1495" s="1" t="s">
        <v>509</v>
      </c>
      <c r="F1495" s="1"/>
      <c r="G1495" s="1">
        <v>695013</v>
      </c>
      <c r="H1495" s="1">
        <v>12.75</v>
      </c>
    </row>
    <row r="1496" spans="1:8" ht="21.75" customHeight="1">
      <c r="A1496" s="1" t="str">
        <f>"1204470006409953"</f>
        <v>1204470006409953</v>
      </c>
      <c r="B1496" s="1" t="s">
        <v>5584</v>
      </c>
      <c r="C1496" s="1" t="s">
        <v>5585</v>
      </c>
      <c r="D1496" s="1" t="s">
        <v>5586</v>
      </c>
      <c r="E1496" s="1" t="s">
        <v>5587</v>
      </c>
      <c r="F1496" s="1" t="s">
        <v>615</v>
      </c>
      <c r="G1496" s="1">
        <v>695013</v>
      </c>
      <c r="H1496" s="1">
        <v>6.75</v>
      </c>
    </row>
    <row r="1497" spans="1:8" ht="21.75" customHeight="1">
      <c r="A1497" s="1" t="str">
        <f>"1203320007451567"</f>
        <v>1203320007451567</v>
      </c>
      <c r="B1497" s="1" t="s">
        <v>5588</v>
      </c>
      <c r="C1497" s="1" t="s">
        <v>5589</v>
      </c>
      <c r="D1497" s="1" t="s">
        <v>5590</v>
      </c>
      <c r="E1497" s="1" t="s">
        <v>5591</v>
      </c>
      <c r="F1497" s="1" t="s">
        <v>615</v>
      </c>
      <c r="G1497" s="1">
        <v>695013</v>
      </c>
      <c r="H1497" s="1">
        <v>15</v>
      </c>
    </row>
    <row r="1498" spans="1:8" ht="21.75" customHeight="1">
      <c r="A1498" s="1" t="str">
        <f>"1208160021861495"</f>
        <v>1208160021861495</v>
      </c>
      <c r="B1498" s="1" t="s">
        <v>5592</v>
      </c>
      <c r="C1498" s="1" t="s">
        <v>5593</v>
      </c>
      <c r="D1498" s="1" t="s">
        <v>410</v>
      </c>
      <c r="E1498" s="1"/>
      <c r="F1498" s="1" t="s">
        <v>5572</v>
      </c>
      <c r="G1498" s="1">
        <v>695014</v>
      </c>
      <c r="H1498" s="1">
        <v>0.75</v>
      </c>
    </row>
    <row r="1499" spans="1:8" ht="21.75" customHeight="1">
      <c r="A1499" s="1" t="str">
        <f>"1204760000096714"</f>
        <v>1204760000096714</v>
      </c>
      <c r="B1499" s="1" t="s">
        <v>5594</v>
      </c>
      <c r="C1499" s="1" t="s">
        <v>5595</v>
      </c>
      <c r="D1499" s="1" t="s">
        <v>5596</v>
      </c>
      <c r="E1499" s="1" t="s">
        <v>5597</v>
      </c>
      <c r="F1499" s="1" t="s">
        <v>615</v>
      </c>
      <c r="G1499" s="1">
        <v>695027</v>
      </c>
      <c r="H1499" s="1">
        <v>45</v>
      </c>
    </row>
    <row r="1500" spans="1:8" ht="21.75" customHeight="1">
      <c r="A1500" s="1" t="str">
        <f>"1201090012858191"</f>
        <v>1201090012858191</v>
      </c>
      <c r="B1500" s="1" t="s">
        <v>5598</v>
      </c>
      <c r="C1500" s="1" t="s">
        <v>5599</v>
      </c>
      <c r="D1500" s="1" t="s">
        <v>5600</v>
      </c>
      <c r="E1500" s="1" t="s">
        <v>5601</v>
      </c>
      <c r="F1500" s="1" t="s">
        <v>5572</v>
      </c>
      <c r="G1500" s="1">
        <v>695043</v>
      </c>
      <c r="H1500" s="1">
        <v>48.75</v>
      </c>
    </row>
    <row r="1501" spans="1:8" ht="21.75" customHeight="1">
      <c r="A1501" s="1" t="str">
        <f>"IN30290245697476"</f>
        <v>IN30290245697476</v>
      </c>
      <c r="B1501" s="1" t="s">
        <v>5602</v>
      </c>
      <c r="C1501" s="1" t="s">
        <v>5603</v>
      </c>
      <c r="D1501" s="1" t="s">
        <v>5604</v>
      </c>
      <c r="E1501" s="1" t="s">
        <v>5571</v>
      </c>
      <c r="F1501" s="1"/>
      <c r="G1501" s="1">
        <v>695313</v>
      </c>
      <c r="H1501" s="1">
        <v>7.5</v>
      </c>
    </row>
    <row r="1502" spans="1:8" ht="21.75" customHeight="1">
      <c r="A1502" s="1" t="str">
        <f>"1202980000292701"</f>
        <v>1202980000292701</v>
      </c>
      <c r="B1502" s="1" t="s">
        <v>5605</v>
      </c>
      <c r="C1502" s="1" t="s">
        <v>5606</v>
      </c>
      <c r="D1502" s="1" t="s">
        <v>5607</v>
      </c>
      <c r="E1502" s="1"/>
      <c r="F1502" s="1" t="s">
        <v>615</v>
      </c>
      <c r="G1502" s="1">
        <v>695503</v>
      </c>
      <c r="H1502" s="1">
        <v>7.5</v>
      </c>
    </row>
    <row r="1503" spans="1:8" ht="21.75" customHeight="1">
      <c r="A1503" s="1" t="str">
        <f>"IN30021415993474"</f>
        <v>IN30021415993474</v>
      </c>
      <c r="B1503" s="1" t="s">
        <v>5608</v>
      </c>
      <c r="C1503" s="1" t="s">
        <v>5609</v>
      </c>
      <c r="D1503" s="1"/>
      <c r="E1503" s="1" t="s">
        <v>5610</v>
      </c>
      <c r="F1503" s="1"/>
      <c r="G1503" s="1">
        <v>700001</v>
      </c>
      <c r="H1503" s="1">
        <v>15</v>
      </c>
    </row>
    <row r="1504" spans="1:8" ht="21.75" customHeight="1">
      <c r="A1504" s="1" t="str">
        <f>"IN30021426812936"</f>
        <v>IN30021426812936</v>
      </c>
      <c r="B1504" s="1" t="s">
        <v>5611</v>
      </c>
      <c r="C1504" s="1" t="s">
        <v>5612</v>
      </c>
      <c r="D1504" s="1" t="s">
        <v>5613</v>
      </c>
      <c r="E1504" s="1" t="s">
        <v>5610</v>
      </c>
      <c r="F1504" s="1"/>
      <c r="G1504" s="1">
        <v>700001</v>
      </c>
      <c r="H1504" s="1">
        <v>375</v>
      </c>
    </row>
    <row r="1505" spans="1:8" ht="21.75" customHeight="1">
      <c r="A1505" s="1" t="str">
        <f>"1204470002857636"</f>
        <v>1204470002857636</v>
      </c>
      <c r="B1505" s="1" t="s">
        <v>1208</v>
      </c>
      <c r="C1505" s="1" t="s">
        <v>5615</v>
      </c>
      <c r="D1505" s="1" t="s">
        <v>5616</v>
      </c>
      <c r="E1505" s="1"/>
      <c r="F1505" s="1" t="s">
        <v>8</v>
      </c>
      <c r="G1505" s="1">
        <v>700002</v>
      </c>
      <c r="H1505" s="1">
        <v>153.75</v>
      </c>
    </row>
    <row r="1506" spans="1:8" ht="21.75" customHeight="1">
      <c r="A1506" s="1" t="str">
        <f>"1208160009862940"</f>
        <v>1208160009862940</v>
      </c>
      <c r="B1506" s="1" t="s">
        <v>5617</v>
      </c>
      <c r="C1506" s="1" t="s">
        <v>5618</v>
      </c>
      <c r="D1506" s="1" t="s">
        <v>5619</v>
      </c>
      <c r="E1506" s="1" t="s">
        <v>5620</v>
      </c>
      <c r="F1506" s="1" t="s">
        <v>8</v>
      </c>
      <c r="G1506" s="1">
        <v>700007</v>
      </c>
      <c r="H1506" s="1">
        <v>150</v>
      </c>
    </row>
    <row r="1507" spans="1:8" ht="21.75" customHeight="1">
      <c r="A1507" s="1" t="str">
        <f>"IN30032710610177"</f>
        <v>IN30032710610177</v>
      </c>
      <c r="B1507" s="1" t="s">
        <v>5621</v>
      </c>
      <c r="C1507" s="1" t="s">
        <v>5622</v>
      </c>
      <c r="D1507" s="1"/>
      <c r="E1507" s="1" t="s">
        <v>8</v>
      </c>
      <c r="F1507" s="1"/>
      <c r="G1507" s="1">
        <v>700007</v>
      </c>
      <c r="H1507" s="1">
        <v>37.5</v>
      </c>
    </row>
    <row r="1508" spans="1:8" ht="21.75" customHeight="1">
      <c r="A1508" s="1" t="str">
        <f>"1203600002845008"</f>
        <v>1203600002845008</v>
      </c>
      <c r="B1508" s="1" t="s">
        <v>5623</v>
      </c>
      <c r="C1508" s="1" t="s">
        <v>5624</v>
      </c>
      <c r="D1508" s="1" t="s">
        <v>5625</v>
      </c>
      <c r="E1508" s="1" t="s">
        <v>5626</v>
      </c>
      <c r="F1508" s="1" t="s">
        <v>8</v>
      </c>
      <c r="G1508" s="1">
        <v>700016</v>
      </c>
      <c r="H1508" s="1">
        <v>2.25</v>
      </c>
    </row>
    <row r="1509" spans="1:8" ht="21.75" customHeight="1">
      <c r="A1509" s="1" t="str">
        <f>"IN30297810262395"</f>
        <v>IN30297810262395</v>
      </c>
      <c r="B1509" s="1" t="s">
        <v>5627</v>
      </c>
      <c r="C1509" s="1" t="s">
        <v>5628</v>
      </c>
      <c r="D1509" s="1" t="s">
        <v>5629</v>
      </c>
      <c r="E1509" s="1" t="s">
        <v>5614</v>
      </c>
      <c r="F1509" s="1"/>
      <c r="G1509" s="1">
        <v>700017</v>
      </c>
      <c r="H1509" s="1">
        <v>7.5</v>
      </c>
    </row>
    <row r="1510" spans="1:8" ht="21.75" customHeight="1">
      <c r="A1510" s="1" t="str">
        <f>"1204920002209771"</f>
        <v>1204920002209771</v>
      </c>
      <c r="B1510" s="1" t="s">
        <v>5630</v>
      </c>
      <c r="C1510" s="1" t="s">
        <v>5631</v>
      </c>
      <c r="D1510" s="1" t="s">
        <v>5632</v>
      </c>
      <c r="E1510" s="1" t="s">
        <v>5632</v>
      </c>
      <c r="F1510" s="1" t="s">
        <v>8</v>
      </c>
      <c r="G1510" s="1">
        <v>700018</v>
      </c>
      <c r="H1510" s="1">
        <v>0.75</v>
      </c>
    </row>
    <row r="1511" spans="1:8" ht="21.75" customHeight="1">
      <c r="A1511" s="1" t="str">
        <f>"IN30429523245814"</f>
        <v>IN30429523245814</v>
      </c>
      <c r="B1511" s="1" t="s">
        <v>5633</v>
      </c>
      <c r="C1511" s="1" t="s">
        <v>5634</v>
      </c>
      <c r="D1511" s="1" t="s">
        <v>11</v>
      </c>
      <c r="E1511" s="1" t="s">
        <v>5635</v>
      </c>
      <c r="F1511" s="1"/>
      <c r="G1511" s="1">
        <v>700025</v>
      </c>
      <c r="H1511" s="1">
        <v>0.75</v>
      </c>
    </row>
    <row r="1512" spans="1:8" ht="21.75" customHeight="1">
      <c r="A1512" s="1" t="str">
        <f>"1208250006220234"</f>
        <v>1208250006220234</v>
      </c>
      <c r="B1512" s="1" t="s">
        <v>5636</v>
      </c>
      <c r="C1512" s="1" t="s">
        <v>5637</v>
      </c>
      <c r="D1512" s="1" t="s">
        <v>5638</v>
      </c>
      <c r="E1512" s="1" t="s">
        <v>8</v>
      </c>
      <c r="F1512" s="1" t="s">
        <v>8</v>
      </c>
      <c r="G1512" s="1">
        <v>700035</v>
      </c>
      <c r="H1512" s="1">
        <v>9.75</v>
      </c>
    </row>
    <row r="1513" spans="1:8" ht="21.75" customHeight="1">
      <c r="A1513" s="1" t="str">
        <f>"IN30371910776285"</f>
        <v>IN30371910776285</v>
      </c>
      <c r="B1513" s="1" t="s">
        <v>1058</v>
      </c>
      <c r="C1513" s="1" t="s">
        <v>5639</v>
      </c>
      <c r="D1513" s="1" t="s">
        <v>5640</v>
      </c>
      <c r="E1513" s="1" t="s">
        <v>5610</v>
      </c>
      <c r="F1513" s="1"/>
      <c r="G1513" s="1">
        <v>700035</v>
      </c>
      <c r="H1513" s="1">
        <v>3.75</v>
      </c>
    </row>
    <row r="1514" spans="1:8" ht="21.75" customHeight="1">
      <c r="A1514" s="1" t="str">
        <f>"IN30429519857594"</f>
        <v>IN30429519857594</v>
      </c>
      <c r="B1514" s="1" t="s">
        <v>5641</v>
      </c>
      <c r="C1514" s="1" t="s">
        <v>5642</v>
      </c>
      <c r="D1514" s="1" t="s">
        <v>5643</v>
      </c>
      <c r="E1514" s="1" t="s">
        <v>5610</v>
      </c>
      <c r="F1514" s="1"/>
      <c r="G1514" s="1">
        <v>700047</v>
      </c>
      <c r="H1514" s="1">
        <v>7.5</v>
      </c>
    </row>
    <row r="1515" spans="1:8" ht="21.75" customHeight="1">
      <c r="A1515" s="1" t="str">
        <f>"1208870018538904"</f>
        <v>1208870018538904</v>
      </c>
      <c r="B1515" s="1" t="s">
        <v>5644</v>
      </c>
      <c r="C1515" s="1" t="s">
        <v>5645</v>
      </c>
      <c r="D1515" s="1" t="s">
        <v>5646</v>
      </c>
      <c r="E1515" s="1" t="s">
        <v>5647</v>
      </c>
      <c r="F1515" s="1" t="s">
        <v>8</v>
      </c>
      <c r="G1515" s="1">
        <v>700052</v>
      </c>
      <c r="H1515" s="1">
        <v>0.75</v>
      </c>
    </row>
    <row r="1516" spans="1:8" ht="21.75" customHeight="1">
      <c r="A1516" s="1" t="str">
        <f>"1202420000055381"</f>
        <v>1202420000055381</v>
      </c>
      <c r="B1516" s="1" t="s">
        <v>5648</v>
      </c>
      <c r="C1516" s="1" t="s">
        <v>5649</v>
      </c>
      <c r="D1516" s="1" t="s">
        <v>5650</v>
      </c>
      <c r="E1516" s="1" t="s">
        <v>5651</v>
      </c>
      <c r="F1516" s="1" t="s">
        <v>8</v>
      </c>
      <c r="G1516" s="1">
        <v>700054</v>
      </c>
      <c r="H1516" s="1">
        <v>1.5</v>
      </c>
    </row>
    <row r="1517" spans="1:8" ht="21.75" customHeight="1">
      <c r="A1517" s="1" t="str">
        <f>"1202990006856212"</f>
        <v>1202990006856212</v>
      </c>
      <c r="B1517" s="1" t="s">
        <v>5652</v>
      </c>
      <c r="C1517" s="1" t="s">
        <v>5653</v>
      </c>
      <c r="D1517" s="1" t="s">
        <v>5654</v>
      </c>
      <c r="E1517" s="1" t="s">
        <v>5655</v>
      </c>
      <c r="F1517" s="1" t="s">
        <v>8</v>
      </c>
      <c r="G1517" s="1">
        <v>700060</v>
      </c>
      <c r="H1517" s="1">
        <v>5.25</v>
      </c>
    </row>
    <row r="1518" spans="1:8" ht="21.75" customHeight="1">
      <c r="A1518" s="1" t="str">
        <f>"1203450000464320"</f>
        <v>1203450000464320</v>
      </c>
      <c r="B1518" s="1" t="s">
        <v>5657</v>
      </c>
      <c r="C1518" s="1" t="s">
        <v>5658</v>
      </c>
      <c r="D1518" s="1" t="s">
        <v>5659</v>
      </c>
      <c r="E1518" s="1"/>
      <c r="F1518" s="1" t="s">
        <v>8</v>
      </c>
      <c r="G1518" s="1">
        <v>700073</v>
      </c>
      <c r="H1518" s="1">
        <v>75</v>
      </c>
    </row>
    <row r="1519" spans="1:8" ht="21.75" customHeight="1">
      <c r="A1519" s="1" t="str">
        <f>"IN30429519481205"</f>
        <v>IN30429519481205</v>
      </c>
      <c r="B1519" s="1" t="s">
        <v>5660</v>
      </c>
      <c r="C1519" s="1" t="s">
        <v>5661</v>
      </c>
      <c r="D1519" s="1" t="s">
        <v>5662</v>
      </c>
      <c r="E1519" s="1" t="s">
        <v>5663</v>
      </c>
      <c r="F1519" s="1"/>
      <c r="G1519" s="1">
        <v>700094</v>
      </c>
      <c r="H1519" s="1">
        <v>20.25</v>
      </c>
    </row>
    <row r="1520" spans="1:8" ht="21.75" customHeight="1">
      <c r="A1520" s="1" t="str">
        <f>"IN30032710117941"</f>
        <v>IN30032710117941</v>
      </c>
      <c r="B1520" s="1" t="s">
        <v>5664</v>
      </c>
      <c r="C1520" s="1" t="s">
        <v>5665</v>
      </c>
      <c r="D1520" s="1" t="s">
        <v>5666</v>
      </c>
      <c r="E1520" s="1" t="s">
        <v>5667</v>
      </c>
      <c r="F1520" s="1"/>
      <c r="G1520" s="1">
        <v>700098</v>
      </c>
      <c r="H1520" s="1">
        <v>300</v>
      </c>
    </row>
    <row r="1521" spans="1:8" ht="21.75" customHeight="1">
      <c r="A1521" s="1" t="str">
        <f>"1204920002220320"</f>
        <v>1204920002220320</v>
      </c>
      <c r="B1521" s="1" t="s">
        <v>5668</v>
      </c>
      <c r="C1521" s="1" t="s">
        <v>5669</v>
      </c>
      <c r="D1521" s="1" t="s">
        <v>5670</v>
      </c>
      <c r="E1521" s="1" t="s">
        <v>410</v>
      </c>
      <c r="F1521" s="1" t="s">
        <v>8</v>
      </c>
      <c r="G1521" s="1">
        <v>700108</v>
      </c>
      <c r="H1521" s="1">
        <v>8.25</v>
      </c>
    </row>
    <row r="1522" spans="1:8" ht="21.75" customHeight="1">
      <c r="A1522" s="1" t="str">
        <f>"1208160019619076"</f>
        <v>1208160019619076</v>
      </c>
      <c r="B1522" s="1" t="s">
        <v>5672</v>
      </c>
      <c r="C1522" s="1" t="s">
        <v>5673</v>
      </c>
      <c r="D1522" s="1"/>
      <c r="E1522" s="1"/>
      <c r="F1522" s="1" t="s">
        <v>5671</v>
      </c>
      <c r="G1522" s="1">
        <v>700119</v>
      </c>
      <c r="H1522" s="1">
        <v>9</v>
      </c>
    </row>
    <row r="1523" spans="1:8" ht="21.75" customHeight="1">
      <c r="A1523" s="1" t="str">
        <f>"1204470009624543"</f>
        <v>1204470009624543</v>
      </c>
      <c r="B1523" s="1" t="s">
        <v>5674</v>
      </c>
      <c r="C1523" s="1" t="s">
        <v>5675</v>
      </c>
      <c r="D1523" s="1" t="s">
        <v>5676</v>
      </c>
      <c r="E1523" s="1" t="s">
        <v>5677</v>
      </c>
      <c r="F1523" s="1" t="s">
        <v>5671</v>
      </c>
      <c r="G1523" s="1">
        <v>700126</v>
      </c>
      <c r="H1523" s="1">
        <v>28.5</v>
      </c>
    </row>
    <row r="1524" spans="1:8" ht="21.75" customHeight="1">
      <c r="A1524" s="1" t="str">
        <f>"1204920002493438"</f>
        <v>1204920002493438</v>
      </c>
      <c r="B1524" s="1" t="s">
        <v>5679</v>
      </c>
      <c r="C1524" s="1" t="s">
        <v>5680</v>
      </c>
      <c r="D1524" s="1" t="s">
        <v>5681</v>
      </c>
      <c r="E1524" s="1" t="s">
        <v>5682</v>
      </c>
      <c r="F1524" s="1" t="s">
        <v>5671</v>
      </c>
      <c r="G1524" s="1">
        <v>700129</v>
      </c>
      <c r="H1524" s="1">
        <v>8.25</v>
      </c>
    </row>
    <row r="1525" spans="1:8" ht="21.75" customHeight="1">
      <c r="A1525" s="1" t="str">
        <f>"IN30429529345704"</f>
        <v>IN30429529345704</v>
      </c>
      <c r="B1525" s="1" t="s">
        <v>5683</v>
      </c>
      <c r="C1525" s="1" t="s">
        <v>5684</v>
      </c>
      <c r="D1525" s="1" t="s">
        <v>5685</v>
      </c>
      <c r="E1525" s="1" t="s">
        <v>5686</v>
      </c>
      <c r="F1525" s="1"/>
      <c r="G1525" s="1">
        <v>700129</v>
      </c>
      <c r="H1525" s="1">
        <v>9.75</v>
      </c>
    </row>
    <row r="1526" spans="1:8" ht="21.75" customHeight="1">
      <c r="A1526" s="1" t="str">
        <f>"1208870001765135"</f>
        <v>1208870001765135</v>
      </c>
      <c r="B1526" s="1" t="s">
        <v>5687</v>
      </c>
      <c r="C1526" s="1" t="s">
        <v>5688</v>
      </c>
      <c r="D1526" s="1" t="s">
        <v>410</v>
      </c>
      <c r="E1526" s="1" t="s">
        <v>410</v>
      </c>
      <c r="F1526" s="1" t="s">
        <v>5671</v>
      </c>
      <c r="G1526" s="1">
        <v>700133</v>
      </c>
      <c r="H1526" s="1">
        <v>2.25</v>
      </c>
    </row>
    <row r="1527" spans="1:8" ht="21.75" customHeight="1">
      <c r="A1527" s="1" t="str">
        <f>"IN30169610278962"</f>
        <v>IN30169610278962</v>
      </c>
      <c r="B1527" s="1" t="s">
        <v>5689</v>
      </c>
      <c r="C1527" s="1" t="s">
        <v>5690</v>
      </c>
      <c r="D1527" s="1"/>
      <c r="E1527" s="1" t="s">
        <v>5691</v>
      </c>
      <c r="F1527" s="1"/>
      <c r="G1527" s="1">
        <v>700134</v>
      </c>
      <c r="H1527" s="1">
        <v>75</v>
      </c>
    </row>
    <row r="1528" spans="1:8" ht="21.75" customHeight="1">
      <c r="A1528" s="1" t="str">
        <f>"1203320014061994"</f>
        <v>1203320014061994</v>
      </c>
      <c r="B1528" s="1" t="s">
        <v>5692</v>
      </c>
      <c r="C1528" s="1" t="s">
        <v>5693</v>
      </c>
      <c r="D1528" s="1" t="s">
        <v>5694</v>
      </c>
      <c r="E1528" s="1" t="s">
        <v>5695</v>
      </c>
      <c r="F1528" s="1" t="s">
        <v>8</v>
      </c>
      <c r="G1528" s="1">
        <v>700135</v>
      </c>
      <c r="H1528" s="1">
        <v>0.75</v>
      </c>
    </row>
    <row r="1529" spans="1:8" ht="21.75" customHeight="1">
      <c r="A1529" s="1" t="str">
        <f>"IN30032710305649"</f>
        <v>IN30032710305649</v>
      </c>
      <c r="B1529" s="1" t="s">
        <v>5696</v>
      </c>
      <c r="C1529" s="1" t="s">
        <v>5697</v>
      </c>
      <c r="D1529" s="1" t="s">
        <v>5698</v>
      </c>
      <c r="E1529" s="1" t="s">
        <v>5699</v>
      </c>
      <c r="F1529" s="1"/>
      <c r="G1529" s="1">
        <v>700144</v>
      </c>
      <c r="H1529" s="1">
        <v>75</v>
      </c>
    </row>
    <row r="1530" spans="1:8" ht="21.75" customHeight="1">
      <c r="A1530" s="1" t="str">
        <f>"1204920002462215"</f>
        <v>1204920002462215</v>
      </c>
      <c r="B1530" s="1" t="s">
        <v>5700</v>
      </c>
      <c r="C1530" s="1" t="s">
        <v>5701</v>
      </c>
      <c r="D1530" s="1" t="s">
        <v>5702</v>
      </c>
      <c r="E1530" s="1" t="s">
        <v>410</v>
      </c>
      <c r="F1530" s="1" t="s">
        <v>642</v>
      </c>
      <c r="G1530" s="1">
        <v>700145</v>
      </c>
      <c r="H1530" s="1">
        <v>0.75</v>
      </c>
    </row>
    <row r="1531" spans="1:8" ht="21.75" customHeight="1">
      <c r="A1531" s="1" t="str">
        <f>"1208870011449588"</f>
        <v>1208870011449588</v>
      </c>
      <c r="B1531" s="1" t="s">
        <v>1197</v>
      </c>
      <c r="C1531" s="1" t="s">
        <v>5703</v>
      </c>
      <c r="D1531" s="1" t="s">
        <v>5704</v>
      </c>
      <c r="E1531" s="1" t="s">
        <v>5705</v>
      </c>
      <c r="F1531" s="1" t="s">
        <v>5671</v>
      </c>
      <c r="G1531" s="1">
        <v>700157</v>
      </c>
      <c r="H1531" s="1">
        <v>45</v>
      </c>
    </row>
    <row r="1532" spans="1:8" ht="21.75" customHeight="1">
      <c r="A1532" s="1" t="str">
        <f>"1202060000421501"</f>
        <v>1202060000421501</v>
      </c>
      <c r="B1532" s="1" t="s">
        <v>5706</v>
      </c>
      <c r="C1532" s="1" t="s">
        <v>5707</v>
      </c>
      <c r="D1532" s="1" t="s">
        <v>5708</v>
      </c>
      <c r="E1532" s="1"/>
      <c r="F1532" s="1" t="s">
        <v>1075</v>
      </c>
      <c r="G1532" s="1">
        <v>711101</v>
      </c>
      <c r="H1532" s="1">
        <v>12.75</v>
      </c>
    </row>
    <row r="1533" spans="1:8" ht="21.75" customHeight="1">
      <c r="A1533" s="1" t="str">
        <f>"1203450000680545"</f>
        <v>1203450000680545</v>
      </c>
      <c r="B1533" s="1" t="s">
        <v>5709</v>
      </c>
      <c r="C1533" s="1" t="s">
        <v>5710</v>
      </c>
      <c r="D1533" s="1" t="s">
        <v>5711</v>
      </c>
      <c r="E1533" s="1" t="s">
        <v>5712</v>
      </c>
      <c r="F1533" s="1" t="s">
        <v>1075</v>
      </c>
      <c r="G1533" s="1">
        <v>711101</v>
      </c>
      <c r="H1533" s="1">
        <v>337</v>
      </c>
    </row>
    <row r="1534" spans="1:8" ht="21.75" customHeight="1">
      <c r="A1534" s="1" t="str">
        <f>"IN30264610035385"</f>
        <v>IN30264610035385</v>
      </c>
      <c r="B1534" s="1" t="s">
        <v>5713</v>
      </c>
      <c r="C1534" s="1" t="s">
        <v>5714</v>
      </c>
      <c r="D1534" s="1" t="s">
        <v>5715</v>
      </c>
      <c r="E1534" s="1" t="s">
        <v>5716</v>
      </c>
      <c r="F1534" s="1"/>
      <c r="G1534" s="1">
        <v>711202</v>
      </c>
      <c r="H1534" s="1">
        <v>103.5</v>
      </c>
    </row>
    <row r="1535" spans="1:8" ht="21.75" customHeight="1">
      <c r="A1535" s="1" t="str">
        <f>"IN30429519011167"</f>
        <v>IN30429519011167</v>
      </c>
      <c r="B1535" s="1" t="s">
        <v>5717</v>
      </c>
      <c r="C1535" s="1" t="s">
        <v>5718</v>
      </c>
      <c r="D1535" s="1" t="s">
        <v>5719</v>
      </c>
      <c r="E1535" s="1" t="s">
        <v>5720</v>
      </c>
      <c r="F1535" s="1"/>
      <c r="G1535" s="1">
        <v>711411</v>
      </c>
      <c r="H1535" s="1">
        <v>17.25</v>
      </c>
    </row>
    <row r="1536" spans="1:8" ht="21.75" customHeight="1">
      <c r="A1536" s="1" t="str">
        <f>"1204920002386630"</f>
        <v>1204920002386630</v>
      </c>
      <c r="B1536" s="1" t="s">
        <v>5722</v>
      </c>
      <c r="C1536" s="1" t="s">
        <v>5723</v>
      </c>
      <c r="D1536" s="1" t="s">
        <v>5724</v>
      </c>
      <c r="E1536" s="1" t="s">
        <v>5725</v>
      </c>
      <c r="F1536" s="1" t="s">
        <v>5721</v>
      </c>
      <c r="G1536" s="1">
        <v>712103</v>
      </c>
      <c r="H1536" s="1">
        <v>8.25</v>
      </c>
    </row>
    <row r="1537" spans="1:8" ht="21.75" customHeight="1">
      <c r="A1537" s="1" t="str">
        <f>"IN30429527196179"</f>
        <v>IN30429527196179</v>
      </c>
      <c r="B1537" s="1" t="s">
        <v>5726</v>
      </c>
      <c r="C1537" s="1" t="s">
        <v>5727</v>
      </c>
      <c r="D1537" s="1" t="s">
        <v>5728</v>
      </c>
      <c r="E1537" s="1" t="s">
        <v>5729</v>
      </c>
      <c r="F1537" s="1"/>
      <c r="G1537" s="1">
        <v>712146</v>
      </c>
      <c r="H1537" s="1">
        <v>7.5</v>
      </c>
    </row>
    <row r="1538" spans="1:8" ht="21.75" customHeight="1">
      <c r="A1538" s="1" t="str">
        <f>"IN30429528164543"</f>
        <v>IN30429528164543</v>
      </c>
      <c r="B1538" s="1" t="s">
        <v>5730</v>
      </c>
      <c r="C1538" s="1" t="s">
        <v>5731</v>
      </c>
      <c r="D1538" s="1"/>
      <c r="E1538" s="1" t="s">
        <v>5729</v>
      </c>
      <c r="F1538" s="1"/>
      <c r="G1538" s="1">
        <v>712147</v>
      </c>
      <c r="H1538" s="1">
        <v>7.5</v>
      </c>
    </row>
    <row r="1539" spans="1:8" ht="21.75" customHeight="1">
      <c r="A1539" s="1" t="str">
        <f>"1201090007218841"</f>
        <v>1201090007218841</v>
      </c>
      <c r="B1539" s="1" t="s">
        <v>5732</v>
      </c>
      <c r="C1539" s="1" t="s">
        <v>5733</v>
      </c>
      <c r="D1539" s="1" t="s">
        <v>5734</v>
      </c>
      <c r="E1539" s="1" t="s">
        <v>5735</v>
      </c>
      <c r="F1539" s="1" t="s">
        <v>5721</v>
      </c>
      <c r="G1539" s="1">
        <v>712223</v>
      </c>
      <c r="H1539" s="1">
        <v>5.25</v>
      </c>
    </row>
    <row r="1540" spans="1:8" ht="21.75" customHeight="1">
      <c r="A1540" s="1" t="str">
        <f>"IN30223612160636"</f>
        <v>IN30223612160636</v>
      </c>
      <c r="B1540" s="1" t="s">
        <v>5736</v>
      </c>
      <c r="C1540" s="1" t="s">
        <v>5737</v>
      </c>
      <c r="D1540" s="1" t="s">
        <v>5738</v>
      </c>
      <c r="E1540" s="1" t="s">
        <v>5739</v>
      </c>
      <c r="F1540" s="1"/>
      <c r="G1540" s="1">
        <v>712223</v>
      </c>
      <c r="H1540" s="1">
        <v>7.5</v>
      </c>
    </row>
    <row r="1541" spans="1:8" ht="21.75" customHeight="1">
      <c r="A1541" s="1" t="str">
        <f>"1204920002521857"</f>
        <v>1204920002521857</v>
      </c>
      <c r="B1541" s="1" t="s">
        <v>5740</v>
      </c>
      <c r="C1541" s="1" t="s">
        <v>5741</v>
      </c>
      <c r="D1541" s="1" t="s">
        <v>5742</v>
      </c>
      <c r="E1541" s="1" t="s">
        <v>5743</v>
      </c>
      <c r="F1541" s="1" t="s">
        <v>5721</v>
      </c>
      <c r="G1541" s="1">
        <v>712232</v>
      </c>
      <c r="H1541" s="1">
        <v>3.75</v>
      </c>
    </row>
    <row r="1542" spans="1:8" ht="21.75" customHeight="1">
      <c r="A1542" s="1" t="str">
        <f>"IN30297810483329"</f>
        <v>IN30297810483329</v>
      </c>
      <c r="B1542" s="1" t="s">
        <v>5744</v>
      </c>
      <c r="C1542" s="1" t="s">
        <v>5745</v>
      </c>
      <c r="D1542" s="1" t="s">
        <v>5746</v>
      </c>
      <c r="E1542" s="1" t="s">
        <v>5747</v>
      </c>
      <c r="F1542" s="1"/>
      <c r="G1542" s="1">
        <v>712232</v>
      </c>
      <c r="H1542" s="1">
        <v>67.5</v>
      </c>
    </row>
    <row r="1543" spans="1:8" ht="21.75" customHeight="1">
      <c r="A1543" s="1" t="str">
        <f>"IN30220110958767"</f>
        <v>IN30220110958767</v>
      </c>
      <c r="B1543" s="1" t="s">
        <v>5748</v>
      </c>
      <c r="C1543" s="1" t="s">
        <v>5749</v>
      </c>
      <c r="D1543" s="1" t="s">
        <v>5750</v>
      </c>
      <c r="E1543" s="1" t="s">
        <v>5751</v>
      </c>
      <c r="F1543" s="1"/>
      <c r="G1543" s="1">
        <v>712246</v>
      </c>
      <c r="H1543" s="1">
        <v>37.5</v>
      </c>
    </row>
    <row r="1544" spans="1:8" ht="21.75" customHeight="1">
      <c r="A1544" s="1" t="str">
        <f>"1204920002424200"</f>
        <v>1204920002424200</v>
      </c>
      <c r="B1544" s="1" t="s">
        <v>5752</v>
      </c>
      <c r="C1544" s="1" t="s">
        <v>5753</v>
      </c>
      <c r="D1544" s="1"/>
      <c r="E1544" s="1" t="s">
        <v>5754</v>
      </c>
      <c r="F1544" s="1" t="s">
        <v>5721</v>
      </c>
      <c r="G1544" s="1">
        <v>712303</v>
      </c>
      <c r="H1544" s="1">
        <v>7.5</v>
      </c>
    </row>
    <row r="1545" spans="1:8" ht="21.75" customHeight="1">
      <c r="A1545" s="1" t="str">
        <f>"IN30429524628162"</f>
        <v>IN30429524628162</v>
      </c>
      <c r="B1545" s="1" t="s">
        <v>5755</v>
      </c>
      <c r="C1545" s="1" t="s">
        <v>5756</v>
      </c>
      <c r="D1545" s="1" t="s">
        <v>5757</v>
      </c>
      <c r="E1545" s="1" t="s">
        <v>5758</v>
      </c>
      <c r="F1545" s="1"/>
      <c r="G1545" s="1">
        <v>712405</v>
      </c>
      <c r="H1545" s="1">
        <v>38.25</v>
      </c>
    </row>
    <row r="1546" spans="1:8" ht="21.75" customHeight="1">
      <c r="A1546" s="1" t="str">
        <f>"IN30429525141787"</f>
        <v>IN30429525141787</v>
      </c>
      <c r="B1546" s="1" t="s">
        <v>5759</v>
      </c>
      <c r="C1546" s="1" t="s">
        <v>5760</v>
      </c>
      <c r="D1546" s="1" t="s">
        <v>5761</v>
      </c>
      <c r="E1546" s="1" t="s">
        <v>5762</v>
      </c>
      <c r="F1546" s="1"/>
      <c r="G1546" s="1">
        <v>713130</v>
      </c>
      <c r="H1546" s="1">
        <v>1.5</v>
      </c>
    </row>
    <row r="1547" spans="1:8" ht="21.75" customHeight="1">
      <c r="A1547" s="1" t="str">
        <f>"IN30026310102525"</f>
        <v>IN30026310102525</v>
      </c>
      <c r="B1547" s="1" t="s">
        <v>5763</v>
      </c>
      <c r="C1547" s="1" t="s">
        <v>5764</v>
      </c>
      <c r="D1547" s="1" t="s">
        <v>5765</v>
      </c>
      <c r="E1547" s="1" t="s">
        <v>5766</v>
      </c>
      <c r="F1547" s="1"/>
      <c r="G1547" s="1">
        <v>713202</v>
      </c>
      <c r="H1547" s="1">
        <v>112.5</v>
      </c>
    </row>
    <row r="1548" spans="1:8" ht="21.75" customHeight="1">
      <c r="A1548" s="1" t="str">
        <f>"IN30429525689788"</f>
        <v>IN30429525689788</v>
      </c>
      <c r="B1548" s="1" t="s">
        <v>5767</v>
      </c>
      <c r="C1548" s="1" t="s">
        <v>5768</v>
      </c>
      <c r="D1548" s="1" t="s">
        <v>5769</v>
      </c>
      <c r="E1548" s="1" t="s">
        <v>5770</v>
      </c>
      <c r="F1548" s="1"/>
      <c r="G1548" s="1">
        <v>713213</v>
      </c>
      <c r="H1548" s="1">
        <v>8.25</v>
      </c>
    </row>
    <row r="1549" spans="1:8" ht="21.75" customHeight="1">
      <c r="A1549" s="1" t="str">
        <f>"IN30429525862814"</f>
        <v>IN30429525862814</v>
      </c>
      <c r="B1549" s="1" t="s">
        <v>5771</v>
      </c>
      <c r="C1549" s="1" t="s">
        <v>5772</v>
      </c>
      <c r="D1549" s="1" t="s">
        <v>5773</v>
      </c>
      <c r="E1549" s="1" t="s">
        <v>5774</v>
      </c>
      <c r="F1549" s="1"/>
      <c r="G1549" s="1">
        <v>713304</v>
      </c>
      <c r="H1549" s="1">
        <v>0.75</v>
      </c>
    </row>
    <row r="1550" spans="1:8" ht="21.75" customHeight="1">
      <c r="A1550" s="1" t="str">
        <f>"1208870028849369"</f>
        <v>1208870028849369</v>
      </c>
      <c r="B1550" s="1" t="s">
        <v>5776</v>
      </c>
      <c r="C1550" s="1" t="s">
        <v>5777</v>
      </c>
      <c r="D1550" s="1" t="s">
        <v>5778</v>
      </c>
      <c r="E1550" s="1"/>
      <c r="F1550" s="1" t="s">
        <v>5678</v>
      </c>
      <c r="G1550" s="1">
        <v>713334</v>
      </c>
      <c r="H1550" s="1">
        <v>3.75</v>
      </c>
    </row>
    <row r="1551" spans="1:8" ht="21.75" customHeight="1">
      <c r="A1551" s="1" t="str">
        <f>"IN30429520158102"</f>
        <v>IN30429520158102</v>
      </c>
      <c r="B1551" s="1" t="s">
        <v>5779</v>
      </c>
      <c r="C1551" s="1" t="s">
        <v>5780</v>
      </c>
      <c r="D1551" s="1" t="s">
        <v>5781</v>
      </c>
      <c r="E1551" s="1" t="s">
        <v>5610</v>
      </c>
      <c r="F1551" s="1"/>
      <c r="G1551" s="1">
        <v>713341</v>
      </c>
      <c r="H1551" s="1">
        <v>3</v>
      </c>
    </row>
    <row r="1552" spans="1:8" ht="21.75" customHeight="1">
      <c r="A1552" s="1" t="str">
        <f>"1203600002668813"</f>
        <v>1203600002668813</v>
      </c>
      <c r="B1552" s="1" t="s">
        <v>5782</v>
      </c>
      <c r="C1552" s="1" t="s">
        <v>5783</v>
      </c>
      <c r="D1552" s="1" t="s">
        <v>5784</v>
      </c>
      <c r="E1552" s="1" t="s">
        <v>5785</v>
      </c>
      <c r="F1552" s="1" t="s">
        <v>5678</v>
      </c>
      <c r="G1552" s="1">
        <v>713408</v>
      </c>
      <c r="H1552" s="1">
        <v>10.5</v>
      </c>
    </row>
    <row r="1553" spans="1:8" ht="21.75" customHeight="1">
      <c r="A1553" s="1" t="str">
        <f>"1203600002677321"</f>
        <v>1203600002677321</v>
      </c>
      <c r="B1553" s="1" t="s">
        <v>5786</v>
      </c>
      <c r="C1553" s="1" t="s">
        <v>5787</v>
      </c>
      <c r="D1553" s="1" t="s">
        <v>5788</v>
      </c>
      <c r="E1553" s="1" t="s">
        <v>5789</v>
      </c>
      <c r="F1553" s="1" t="s">
        <v>651</v>
      </c>
      <c r="G1553" s="1">
        <v>713409</v>
      </c>
      <c r="H1553" s="1">
        <v>14.25</v>
      </c>
    </row>
    <row r="1554" spans="1:8" ht="21.75" customHeight="1">
      <c r="A1554" s="1" t="str">
        <f>"IN30429528490875"</f>
        <v>IN30429528490875</v>
      </c>
      <c r="B1554" s="1" t="s">
        <v>5790</v>
      </c>
      <c r="C1554" s="1" t="s">
        <v>5791</v>
      </c>
      <c r="D1554" s="1" t="s">
        <v>5792</v>
      </c>
      <c r="E1554" s="1" t="s">
        <v>5793</v>
      </c>
      <c r="F1554" s="1"/>
      <c r="G1554" s="1">
        <v>713421</v>
      </c>
      <c r="H1554" s="1">
        <v>0.75</v>
      </c>
    </row>
    <row r="1555" spans="1:8" ht="21.75" customHeight="1">
      <c r="A1555" s="1" t="str">
        <f>"1208870031233351"</f>
        <v>1208870031233351</v>
      </c>
      <c r="B1555" s="1" t="s">
        <v>5795</v>
      </c>
      <c r="C1555" s="1" t="s">
        <v>5796</v>
      </c>
      <c r="D1555" s="1" t="s">
        <v>5797</v>
      </c>
      <c r="E1555" s="1" t="s">
        <v>5798</v>
      </c>
      <c r="F1555" s="1" t="s">
        <v>5794</v>
      </c>
      <c r="G1555" s="1">
        <v>721136</v>
      </c>
      <c r="H1555" s="1">
        <v>0.75</v>
      </c>
    </row>
    <row r="1556" spans="1:8" ht="21.75" customHeight="1">
      <c r="A1556" s="1" t="str">
        <f>"1201910300355867"</f>
        <v>1201910300355867</v>
      </c>
      <c r="B1556" s="1" t="s">
        <v>5800</v>
      </c>
      <c r="C1556" s="1" t="s">
        <v>5801</v>
      </c>
      <c r="D1556" s="1" t="s">
        <v>5802</v>
      </c>
      <c r="E1556" s="1"/>
      <c r="F1556" s="1" t="s">
        <v>5803</v>
      </c>
      <c r="G1556" s="1">
        <v>721301</v>
      </c>
      <c r="H1556" s="1">
        <v>37.5</v>
      </c>
    </row>
    <row r="1557" spans="1:8" ht="21.75" customHeight="1">
      <c r="A1557" s="1" t="str">
        <f>"IN30429514369122"</f>
        <v>IN30429514369122</v>
      </c>
      <c r="B1557" s="1" t="s">
        <v>5804</v>
      </c>
      <c r="C1557" s="1" t="s">
        <v>5805</v>
      </c>
      <c r="D1557" s="1" t="s">
        <v>5806</v>
      </c>
      <c r="E1557" s="1" t="s">
        <v>8</v>
      </c>
      <c r="F1557" s="1"/>
      <c r="G1557" s="1">
        <v>721436</v>
      </c>
      <c r="H1557" s="1">
        <v>22.5</v>
      </c>
    </row>
    <row r="1558" spans="1:8" ht="21.75" customHeight="1">
      <c r="A1558" s="1" t="str">
        <f>"IN30290248544724"</f>
        <v>IN30290248544724</v>
      </c>
      <c r="B1558" s="1" t="s">
        <v>5807</v>
      </c>
      <c r="C1558" s="1" t="s">
        <v>5808</v>
      </c>
      <c r="D1558" s="1" t="s">
        <v>5809</v>
      </c>
      <c r="E1558" s="1" t="s">
        <v>5810</v>
      </c>
      <c r="F1558" s="1"/>
      <c r="G1558" s="1">
        <v>732124</v>
      </c>
      <c r="H1558" s="1">
        <v>45</v>
      </c>
    </row>
    <row r="1559" spans="1:8" ht="21.75" customHeight="1">
      <c r="A1559" s="1" t="str">
        <f>"1208160033492437"</f>
        <v>1208160033492437</v>
      </c>
      <c r="B1559" s="1" t="s">
        <v>5811</v>
      </c>
      <c r="C1559" s="1" t="s">
        <v>5812</v>
      </c>
      <c r="D1559" s="1" t="s">
        <v>5813</v>
      </c>
      <c r="E1559" s="1"/>
      <c r="F1559" s="1" t="s">
        <v>5814</v>
      </c>
      <c r="G1559" s="1">
        <v>734001</v>
      </c>
      <c r="H1559" s="1">
        <v>7.5</v>
      </c>
    </row>
    <row r="1560" spans="1:8" ht="21.75" customHeight="1">
      <c r="A1560" s="1" t="str">
        <f>"1208180005488744"</f>
        <v>1208180005488744</v>
      </c>
      <c r="B1560" s="1" t="s">
        <v>5816</v>
      </c>
      <c r="C1560" s="1" t="s">
        <v>5817</v>
      </c>
      <c r="D1560" s="1" t="s">
        <v>5818</v>
      </c>
      <c r="E1560" s="1" t="s">
        <v>5819</v>
      </c>
      <c r="F1560" s="1" t="s">
        <v>5815</v>
      </c>
      <c r="G1560" s="1">
        <v>734005</v>
      </c>
      <c r="H1560" s="1">
        <v>3.75</v>
      </c>
    </row>
    <row r="1561" spans="1:8" ht="21.75" customHeight="1">
      <c r="A1561" s="1" t="str">
        <f>"IN30429529938559"</f>
        <v>IN30429529938559</v>
      </c>
      <c r="B1561" s="1" t="s">
        <v>5821</v>
      </c>
      <c r="C1561" s="1" t="s">
        <v>5822</v>
      </c>
      <c r="D1561" s="1" t="s">
        <v>5823</v>
      </c>
      <c r="E1561" s="1" t="s">
        <v>5824</v>
      </c>
      <c r="F1561" s="1"/>
      <c r="G1561" s="1">
        <v>734006</v>
      </c>
      <c r="H1561" s="1">
        <v>7.5</v>
      </c>
    </row>
    <row r="1562" spans="1:8" ht="21.75" customHeight="1">
      <c r="A1562" s="1" t="str">
        <f>"IN30429528758003"</f>
        <v>IN30429528758003</v>
      </c>
      <c r="B1562" s="1" t="s">
        <v>5825</v>
      </c>
      <c r="C1562" s="1" t="s">
        <v>5826</v>
      </c>
      <c r="D1562" s="1" t="s">
        <v>5827</v>
      </c>
      <c r="E1562" s="1" t="s">
        <v>5828</v>
      </c>
      <c r="F1562" s="1"/>
      <c r="G1562" s="1">
        <v>734201</v>
      </c>
      <c r="H1562" s="1">
        <v>1.5</v>
      </c>
    </row>
    <row r="1563" spans="1:8" ht="21.75" customHeight="1">
      <c r="A1563" s="1" t="str">
        <f>"IN30429514472617"</f>
        <v>IN30429514472617</v>
      </c>
      <c r="B1563" s="1" t="s">
        <v>5829</v>
      </c>
      <c r="C1563" s="1" t="s">
        <v>5830</v>
      </c>
      <c r="D1563" s="1" t="s">
        <v>5831</v>
      </c>
      <c r="E1563" s="1" t="s">
        <v>5832</v>
      </c>
      <c r="F1563" s="1"/>
      <c r="G1563" s="1">
        <v>735101</v>
      </c>
      <c r="H1563" s="1">
        <v>0.75</v>
      </c>
    </row>
    <row r="1564" spans="1:8" ht="21.75" customHeight="1">
      <c r="A1564" s="1" t="str">
        <f>"IN30429526492452"</f>
        <v>IN30429526492452</v>
      </c>
      <c r="B1564" s="1" t="s">
        <v>5833</v>
      </c>
      <c r="C1564" s="1" t="s">
        <v>5834</v>
      </c>
      <c r="D1564" s="1" t="s">
        <v>5835</v>
      </c>
      <c r="E1564" s="1" t="s">
        <v>5836</v>
      </c>
      <c r="F1564" s="1"/>
      <c r="G1564" s="1">
        <v>735134</v>
      </c>
      <c r="H1564" s="1">
        <v>15</v>
      </c>
    </row>
    <row r="1565" spans="1:8" ht="21.75" customHeight="1">
      <c r="A1565" s="1" t="str">
        <f>"1208180007618856"</f>
        <v>1208180007618856</v>
      </c>
      <c r="B1565" s="1" t="s">
        <v>5838</v>
      </c>
      <c r="C1565" s="1" t="s">
        <v>5839</v>
      </c>
      <c r="D1565" s="1" t="s">
        <v>5840</v>
      </c>
      <c r="E1565" s="1"/>
      <c r="F1565" s="1" t="s">
        <v>5837</v>
      </c>
      <c r="G1565" s="1">
        <v>736165</v>
      </c>
      <c r="H1565" s="1">
        <v>4.5</v>
      </c>
    </row>
    <row r="1566" spans="1:8" ht="21.75" customHeight="1">
      <c r="A1566" s="1" t="str">
        <f>"IN30429517199577"</f>
        <v>IN30429517199577</v>
      </c>
      <c r="B1566" s="1" t="s">
        <v>5841</v>
      </c>
      <c r="C1566" s="1" t="s">
        <v>5842</v>
      </c>
      <c r="D1566" s="1" t="s">
        <v>5843</v>
      </c>
      <c r="E1566" s="1" t="s">
        <v>5844</v>
      </c>
      <c r="F1566" s="1"/>
      <c r="G1566" s="1">
        <v>741126</v>
      </c>
      <c r="H1566" s="1">
        <v>6.75</v>
      </c>
    </row>
    <row r="1567" spans="1:8" ht="21.75" customHeight="1">
      <c r="A1567" s="1" t="str">
        <f>"1208160015669508"</f>
        <v>1208160015669508</v>
      </c>
      <c r="B1567" s="1" t="s">
        <v>5845</v>
      </c>
      <c r="C1567" s="1" t="s">
        <v>5846</v>
      </c>
      <c r="D1567" s="1" t="s">
        <v>5847</v>
      </c>
      <c r="E1567" s="1"/>
      <c r="F1567" s="1" t="s">
        <v>659</v>
      </c>
      <c r="G1567" s="1">
        <v>741138</v>
      </c>
      <c r="H1567" s="1">
        <v>11.25</v>
      </c>
    </row>
    <row r="1568" spans="1:8" ht="21.75" customHeight="1">
      <c r="A1568" s="1" t="str">
        <f>"IN30243720291710"</f>
        <v>IN30243720291710</v>
      </c>
      <c r="B1568" s="1" t="s">
        <v>5848</v>
      </c>
      <c r="C1568" s="1" t="s">
        <v>5849</v>
      </c>
      <c r="D1568" s="1" t="s">
        <v>5850</v>
      </c>
      <c r="E1568" s="1" t="s">
        <v>5851</v>
      </c>
      <c r="F1568" s="1"/>
      <c r="G1568" s="1">
        <v>741139</v>
      </c>
      <c r="H1568" s="1">
        <v>75</v>
      </c>
    </row>
    <row r="1569" spans="1:8" ht="21.75" customHeight="1">
      <c r="A1569" s="1" t="str">
        <f>"1208870006395121"</f>
        <v>1208870006395121</v>
      </c>
      <c r="B1569" s="1" t="s">
        <v>5852</v>
      </c>
      <c r="C1569" s="1" t="s">
        <v>5853</v>
      </c>
      <c r="D1569" s="1" t="s">
        <v>5854</v>
      </c>
      <c r="E1569" s="1" t="s">
        <v>410</v>
      </c>
      <c r="F1569" s="1" t="s">
        <v>659</v>
      </c>
      <c r="G1569" s="1">
        <v>741160</v>
      </c>
      <c r="H1569" s="1">
        <v>10.5</v>
      </c>
    </row>
    <row r="1570" spans="1:8" ht="21.75" customHeight="1">
      <c r="A1570" s="1" t="str">
        <f>"IN30429525057879"</f>
        <v>IN30429525057879</v>
      </c>
      <c r="B1570" s="1" t="s">
        <v>5855</v>
      </c>
      <c r="C1570" s="1" t="s">
        <v>5856</v>
      </c>
      <c r="D1570" s="1" t="s">
        <v>659</v>
      </c>
      <c r="E1570" s="1" t="s">
        <v>5857</v>
      </c>
      <c r="F1570" s="1"/>
      <c r="G1570" s="1">
        <v>741235</v>
      </c>
      <c r="H1570" s="1">
        <v>0.75</v>
      </c>
    </row>
    <row r="1571" spans="1:8" ht="21.75" customHeight="1">
      <c r="A1571" s="1" t="str">
        <f>"1208160038779502"</f>
        <v>1208160038779502</v>
      </c>
      <c r="B1571" s="1" t="s">
        <v>5858</v>
      </c>
      <c r="C1571" s="1" t="s">
        <v>5859</v>
      </c>
      <c r="D1571" s="1"/>
      <c r="E1571" s="1"/>
      <c r="F1571" s="1" t="s">
        <v>659</v>
      </c>
      <c r="G1571" s="1">
        <v>741404</v>
      </c>
      <c r="H1571" s="1">
        <v>17.25</v>
      </c>
    </row>
    <row r="1572" spans="1:8" ht="21.75" customHeight="1">
      <c r="A1572" s="1" t="str">
        <f>"IN30429525962543"</f>
        <v>IN30429525962543</v>
      </c>
      <c r="B1572" s="1" t="s">
        <v>5860</v>
      </c>
      <c r="C1572" s="1" t="s">
        <v>5861</v>
      </c>
      <c r="D1572" s="1" t="s">
        <v>5862</v>
      </c>
      <c r="E1572" s="1" t="s">
        <v>5863</v>
      </c>
      <c r="F1572" s="1"/>
      <c r="G1572" s="1">
        <v>741404</v>
      </c>
      <c r="H1572" s="1">
        <v>8.25</v>
      </c>
    </row>
    <row r="1573" spans="1:8" ht="21.75" customHeight="1">
      <c r="A1573" s="1" t="str">
        <f>"IN30095810197036"</f>
        <v>IN30095810197036</v>
      </c>
      <c r="B1573" s="1" t="s">
        <v>5864</v>
      </c>
      <c r="C1573" s="1" t="s">
        <v>5865</v>
      </c>
      <c r="D1573" s="1" t="s">
        <v>5866</v>
      </c>
      <c r="E1573" s="1" t="s">
        <v>664</v>
      </c>
      <c r="F1573" s="1"/>
      <c r="G1573" s="1">
        <v>742133</v>
      </c>
      <c r="H1573" s="1">
        <v>15.75</v>
      </c>
    </row>
    <row r="1574" spans="1:8" ht="21.75" customHeight="1">
      <c r="A1574" s="1" t="str">
        <f>"IN30169612061970"</f>
        <v>IN30169612061970</v>
      </c>
      <c r="B1574" s="1" t="s">
        <v>5867</v>
      </c>
      <c r="C1574" s="1" t="s">
        <v>5868</v>
      </c>
      <c r="D1574" s="1" t="s">
        <v>5869</v>
      </c>
      <c r="E1574" s="1" t="s">
        <v>5870</v>
      </c>
      <c r="F1574" s="1"/>
      <c r="G1574" s="1">
        <v>743166</v>
      </c>
      <c r="H1574" s="1">
        <v>5.25</v>
      </c>
    </row>
    <row r="1575" spans="1:8" ht="21.75" customHeight="1">
      <c r="A1575" s="1" t="str">
        <f>"IN30429520115678"</f>
        <v>IN30429520115678</v>
      </c>
      <c r="B1575" s="1" t="s">
        <v>5871</v>
      </c>
      <c r="C1575" s="1" t="s">
        <v>5872</v>
      </c>
      <c r="D1575" s="1" t="s">
        <v>5873</v>
      </c>
      <c r="E1575" s="1" t="s">
        <v>5874</v>
      </c>
      <c r="F1575" s="1"/>
      <c r="G1575" s="1">
        <v>743222</v>
      </c>
      <c r="H1575" s="1">
        <v>9</v>
      </c>
    </row>
    <row r="1576" spans="1:8" ht="21.75" customHeight="1">
      <c r="A1576" s="1" t="str">
        <f>"IN30021436429645"</f>
        <v>IN30021436429645</v>
      </c>
      <c r="B1576" s="1" t="s">
        <v>5875</v>
      </c>
      <c r="C1576" s="1" t="s">
        <v>5876</v>
      </c>
      <c r="D1576" s="1" t="s">
        <v>5877</v>
      </c>
      <c r="E1576" s="1" t="s">
        <v>5878</v>
      </c>
      <c r="F1576" s="1"/>
      <c r="G1576" s="1">
        <v>743271</v>
      </c>
      <c r="H1576" s="1">
        <v>3.75</v>
      </c>
    </row>
    <row r="1577" spans="1:8" ht="21.75" customHeight="1">
      <c r="A1577" s="1" t="str">
        <f>"IN30429523146928"</f>
        <v>IN30429523146928</v>
      </c>
      <c r="B1577" s="1" t="s">
        <v>5879</v>
      </c>
      <c r="C1577" s="1" t="s">
        <v>5880</v>
      </c>
      <c r="D1577" s="1" t="s">
        <v>5881</v>
      </c>
      <c r="E1577" s="1" t="s">
        <v>5882</v>
      </c>
      <c r="F1577" s="1"/>
      <c r="G1577" s="1">
        <v>743338</v>
      </c>
      <c r="H1577" s="1">
        <v>0.75</v>
      </c>
    </row>
    <row r="1578" spans="1:8" ht="21.75" customHeight="1">
      <c r="A1578" s="1" t="str">
        <f>"IN30371910479952"</f>
        <v>IN30371910479952</v>
      </c>
      <c r="B1578" s="1" t="s">
        <v>5883</v>
      </c>
      <c r="C1578" s="1" t="s">
        <v>5884</v>
      </c>
      <c r="D1578" s="1" t="s">
        <v>5885</v>
      </c>
      <c r="E1578" s="1" t="s">
        <v>5886</v>
      </c>
      <c r="F1578" s="1"/>
      <c r="G1578" s="1">
        <v>744103</v>
      </c>
      <c r="H1578" s="1">
        <v>0.75</v>
      </c>
    </row>
    <row r="1579" spans="1:8" ht="21.75" customHeight="1">
      <c r="A1579" s="1" t="str">
        <f>"1203320087088454"</f>
        <v>1203320087088454</v>
      </c>
      <c r="B1579" s="1" t="s">
        <v>5887</v>
      </c>
      <c r="C1579" s="1" t="s">
        <v>5888</v>
      </c>
      <c r="D1579" s="1" t="s">
        <v>5889</v>
      </c>
      <c r="E1579" s="1"/>
      <c r="F1579" s="1" t="s">
        <v>5656</v>
      </c>
      <c r="G1579" s="1">
        <v>751003</v>
      </c>
      <c r="H1579" s="1">
        <v>67.5</v>
      </c>
    </row>
    <row r="1580" spans="1:8" ht="21.75" customHeight="1">
      <c r="A1580" s="1" t="str">
        <f>"IN30021415640516"</f>
        <v>IN30021415640516</v>
      </c>
      <c r="B1580" s="1" t="s">
        <v>5890</v>
      </c>
      <c r="C1580" s="1" t="s">
        <v>5891</v>
      </c>
      <c r="D1580" s="1" t="s">
        <v>5892</v>
      </c>
      <c r="E1580" s="1" t="s">
        <v>5893</v>
      </c>
      <c r="F1580" s="1"/>
      <c r="G1580" s="1">
        <v>751012</v>
      </c>
      <c r="H1580" s="1">
        <v>75</v>
      </c>
    </row>
    <row r="1581" spans="1:8" ht="21.75" customHeight="1">
      <c r="A1581" s="1" t="str">
        <f>"IN30007910881447"</f>
        <v>IN30007910881447</v>
      </c>
      <c r="B1581" s="1" t="s">
        <v>5894</v>
      </c>
      <c r="C1581" s="1" t="s">
        <v>5895</v>
      </c>
      <c r="D1581" s="1" t="s">
        <v>5896</v>
      </c>
      <c r="E1581" s="1" t="s">
        <v>5897</v>
      </c>
      <c r="F1581" s="1"/>
      <c r="G1581" s="1">
        <v>751018</v>
      </c>
      <c r="H1581" s="1">
        <v>18.75</v>
      </c>
    </row>
    <row r="1582" spans="1:8" ht="21.75" customHeight="1">
      <c r="A1582" s="1" t="str">
        <f>"IN30021434008765"</f>
        <v>IN30021434008765</v>
      </c>
      <c r="B1582" s="1" t="s">
        <v>5898</v>
      </c>
      <c r="C1582" s="1" t="s">
        <v>5899</v>
      </c>
      <c r="D1582" s="1" t="s">
        <v>5900</v>
      </c>
      <c r="E1582" s="1" t="s">
        <v>5901</v>
      </c>
      <c r="F1582" s="1"/>
      <c r="G1582" s="1">
        <v>752054</v>
      </c>
      <c r="H1582" s="1">
        <v>4.5</v>
      </c>
    </row>
    <row r="1583" spans="1:8" ht="21.75" customHeight="1">
      <c r="A1583" s="1" t="str">
        <f>"1202990006699831"</f>
        <v>1202990006699831</v>
      </c>
      <c r="B1583" s="1" t="s">
        <v>5902</v>
      </c>
      <c r="C1583" s="1" t="s">
        <v>5903</v>
      </c>
      <c r="D1583" s="1" t="s">
        <v>5904</v>
      </c>
      <c r="E1583" s="1" t="s">
        <v>5905</v>
      </c>
      <c r="F1583" s="1" t="s">
        <v>5656</v>
      </c>
      <c r="G1583" s="1">
        <v>752103</v>
      </c>
      <c r="H1583" s="1">
        <v>0.75</v>
      </c>
    </row>
    <row r="1584" spans="1:8" ht="21.75" customHeight="1">
      <c r="A1584" s="1" t="str">
        <f>"1201060003641700"</f>
        <v>1201060003641700</v>
      </c>
      <c r="B1584" s="1" t="s">
        <v>5907</v>
      </c>
      <c r="C1584" s="1" t="s">
        <v>5908</v>
      </c>
      <c r="D1584" s="1" t="s">
        <v>5909</v>
      </c>
      <c r="E1584" s="1" t="s">
        <v>5910</v>
      </c>
      <c r="F1584" s="1" t="s">
        <v>5906</v>
      </c>
      <c r="G1584" s="1">
        <v>753012</v>
      </c>
      <c r="H1584" s="1">
        <v>56.25</v>
      </c>
    </row>
    <row r="1585" spans="1:8" ht="21.75" customHeight="1">
      <c r="A1585" s="1" t="str">
        <f>"IN30429526789074"</f>
        <v>IN30429526789074</v>
      </c>
      <c r="B1585" s="1" t="s">
        <v>5911</v>
      </c>
      <c r="C1585" s="1" t="s">
        <v>5912</v>
      </c>
      <c r="D1585" s="1" t="s">
        <v>5913</v>
      </c>
      <c r="E1585" s="1" t="s">
        <v>5914</v>
      </c>
      <c r="F1585" s="1"/>
      <c r="G1585" s="1">
        <v>754025</v>
      </c>
      <c r="H1585" s="1">
        <v>0.75</v>
      </c>
    </row>
    <row r="1586" spans="1:8" ht="21.75" customHeight="1">
      <c r="A1586" s="1" t="str">
        <f>"1208160013262998"</f>
        <v>1208160013262998</v>
      </c>
      <c r="B1586" s="1" t="s">
        <v>5915</v>
      </c>
      <c r="C1586" s="1" t="s">
        <v>5916</v>
      </c>
      <c r="D1586" s="1"/>
      <c r="E1586" s="1"/>
      <c r="F1586" s="1" t="s">
        <v>5917</v>
      </c>
      <c r="G1586" s="1">
        <v>754133</v>
      </c>
      <c r="H1586" s="1">
        <v>0.75</v>
      </c>
    </row>
    <row r="1587" spans="1:8" ht="21.75" customHeight="1">
      <c r="A1587" s="1" t="str">
        <f>"1208160025204231"</f>
        <v>1208160025204231</v>
      </c>
      <c r="B1587" s="1" t="s">
        <v>5919</v>
      </c>
      <c r="C1587" s="1" t="s">
        <v>5920</v>
      </c>
      <c r="D1587" s="1" t="s">
        <v>5921</v>
      </c>
      <c r="E1587" s="1"/>
      <c r="F1587" s="1" t="s">
        <v>5918</v>
      </c>
      <c r="G1587" s="1">
        <v>754141</v>
      </c>
      <c r="H1587" s="1">
        <v>0.75</v>
      </c>
    </row>
    <row r="1588" spans="1:8" ht="21.75" customHeight="1">
      <c r="A1588" s="1" t="str">
        <f>"IN30429514340989"</f>
        <v>IN30429514340989</v>
      </c>
      <c r="B1588" s="1" t="s">
        <v>5922</v>
      </c>
      <c r="C1588" s="1" t="s">
        <v>5923</v>
      </c>
      <c r="D1588" s="1" t="s">
        <v>5924</v>
      </c>
      <c r="E1588" s="1" t="s">
        <v>5925</v>
      </c>
      <c r="F1588" s="1"/>
      <c r="G1588" s="1">
        <v>754142</v>
      </c>
      <c r="H1588" s="1">
        <v>600</v>
      </c>
    </row>
    <row r="1589" spans="1:8" ht="21.75" customHeight="1">
      <c r="A1589" s="1" t="str">
        <f>"IN30429514556202"</f>
        <v>IN30429514556202</v>
      </c>
      <c r="B1589" s="1" t="s">
        <v>5926</v>
      </c>
      <c r="C1589" s="1" t="s">
        <v>5927</v>
      </c>
      <c r="D1589" s="1" t="s">
        <v>5928</v>
      </c>
      <c r="E1589" s="1" t="s">
        <v>5929</v>
      </c>
      <c r="F1589" s="1"/>
      <c r="G1589" s="1">
        <v>755007</v>
      </c>
      <c r="H1589" s="1">
        <v>3.75</v>
      </c>
    </row>
    <row r="1590" spans="1:8" ht="21.75" customHeight="1">
      <c r="A1590" s="1" t="str">
        <f>"1203840001324006"</f>
        <v>1203840001324006</v>
      </c>
      <c r="B1590" s="1" t="s">
        <v>5930</v>
      </c>
      <c r="C1590" s="1" t="s">
        <v>5931</v>
      </c>
      <c r="D1590" s="1" t="s">
        <v>5932</v>
      </c>
      <c r="E1590" s="1" t="s">
        <v>5933</v>
      </c>
      <c r="F1590" s="1" t="s">
        <v>669</v>
      </c>
      <c r="G1590" s="1">
        <v>756001</v>
      </c>
      <c r="H1590" s="1">
        <v>37.5</v>
      </c>
    </row>
    <row r="1591" spans="1:8" ht="21.75" customHeight="1">
      <c r="A1591" s="1" t="str">
        <f>"1208180022144107"</f>
        <v>1208180022144107</v>
      </c>
      <c r="B1591" s="1" t="s">
        <v>5935</v>
      </c>
      <c r="C1591" s="1" t="s">
        <v>5936</v>
      </c>
      <c r="D1591" s="1" t="s">
        <v>5937</v>
      </c>
      <c r="E1591" s="1"/>
      <c r="F1591" s="1" t="s">
        <v>5934</v>
      </c>
      <c r="G1591" s="1">
        <v>756101</v>
      </c>
      <c r="H1591" s="1">
        <v>15</v>
      </c>
    </row>
    <row r="1592" spans="1:8" ht="21.75" customHeight="1">
      <c r="A1592" s="1" t="str">
        <f>"1204470004007651"</f>
        <v>1204470004007651</v>
      </c>
      <c r="B1592" s="1" t="s">
        <v>5939</v>
      </c>
      <c r="C1592" s="1" t="s">
        <v>5940</v>
      </c>
      <c r="D1592" s="1" t="s">
        <v>5941</v>
      </c>
      <c r="E1592" s="1" t="s">
        <v>5942</v>
      </c>
      <c r="F1592" s="1" t="s">
        <v>5938</v>
      </c>
      <c r="G1592" s="1">
        <v>757034</v>
      </c>
      <c r="H1592" s="1">
        <v>0.75</v>
      </c>
    </row>
    <row r="1593" spans="1:8" ht="21.75" customHeight="1">
      <c r="A1593" s="1" t="str">
        <f>"1208870021944095"</f>
        <v>1208870021944095</v>
      </c>
      <c r="B1593" s="1" t="s">
        <v>5944</v>
      </c>
      <c r="C1593" s="1" t="s">
        <v>5945</v>
      </c>
      <c r="D1593" s="1" t="s">
        <v>5946</v>
      </c>
      <c r="E1593" s="1" t="s">
        <v>5947</v>
      </c>
      <c r="F1593" s="1" t="s">
        <v>5943</v>
      </c>
      <c r="G1593" s="1">
        <v>760004</v>
      </c>
      <c r="H1593" s="1">
        <v>11.25</v>
      </c>
    </row>
    <row r="1594" spans="1:8" ht="21.75" customHeight="1">
      <c r="A1594" s="1" t="str">
        <f>"1208180020507181"</f>
        <v>1208180020507181</v>
      </c>
      <c r="B1594" s="1" t="s">
        <v>5948</v>
      </c>
      <c r="C1594" s="1" t="s">
        <v>5949</v>
      </c>
      <c r="D1594" s="1" t="s">
        <v>5950</v>
      </c>
      <c r="E1594" s="1"/>
      <c r="F1594" s="1" t="s">
        <v>5943</v>
      </c>
      <c r="G1594" s="1">
        <v>761020</v>
      </c>
      <c r="H1594" s="1">
        <v>15</v>
      </c>
    </row>
    <row r="1595" spans="1:8" ht="21.75" customHeight="1">
      <c r="A1595" s="1" t="str">
        <f>"1301440002555303"</f>
        <v>1301440002555303</v>
      </c>
      <c r="B1595" s="1" t="s">
        <v>5951</v>
      </c>
      <c r="C1595" s="1" t="s">
        <v>5952</v>
      </c>
      <c r="D1595" s="1" t="s">
        <v>5953</v>
      </c>
      <c r="E1595" s="1" t="s">
        <v>5954</v>
      </c>
      <c r="F1595" s="1" t="s">
        <v>5953</v>
      </c>
      <c r="G1595" s="1">
        <v>767001</v>
      </c>
      <c r="H1595" s="1">
        <v>33</v>
      </c>
    </row>
    <row r="1596" spans="1:8" ht="21.75" customHeight="1">
      <c r="A1596" s="1" t="str">
        <f>"1204470006394473"</f>
        <v>1204470006394473</v>
      </c>
      <c r="B1596" s="1" t="s">
        <v>5956</v>
      </c>
      <c r="C1596" s="1" t="s">
        <v>5957</v>
      </c>
      <c r="D1596" s="1" t="s">
        <v>5958</v>
      </c>
      <c r="E1596" s="1"/>
      <c r="F1596" s="1" t="s">
        <v>5955</v>
      </c>
      <c r="G1596" s="1">
        <v>768017</v>
      </c>
      <c r="H1596" s="1">
        <v>21</v>
      </c>
    </row>
    <row r="1597" spans="1:8" ht="21.75" customHeight="1">
      <c r="A1597" s="1" t="str">
        <f>"IN30429514620354"</f>
        <v>IN30429514620354</v>
      </c>
      <c r="B1597" s="1" t="s">
        <v>5959</v>
      </c>
      <c r="C1597" s="1" t="s">
        <v>5960</v>
      </c>
      <c r="D1597" s="1" t="s">
        <v>5961</v>
      </c>
      <c r="E1597" s="1" t="s">
        <v>5962</v>
      </c>
      <c r="F1597" s="1"/>
      <c r="G1597" s="1">
        <v>769001</v>
      </c>
      <c r="H1597" s="1">
        <v>1.5</v>
      </c>
    </row>
    <row r="1598" spans="1:8" ht="21.75" customHeight="1">
      <c r="A1598" s="1" t="str">
        <f>"1208180036744525"</f>
        <v>1208180036744525</v>
      </c>
      <c r="B1598" s="1" t="s">
        <v>5964</v>
      </c>
      <c r="C1598" s="1" t="s">
        <v>5965</v>
      </c>
      <c r="D1598" s="1"/>
      <c r="E1598" s="1"/>
      <c r="F1598" s="1" t="s">
        <v>5963</v>
      </c>
      <c r="G1598" s="1">
        <v>769004</v>
      </c>
      <c r="H1598" s="1">
        <v>75</v>
      </c>
    </row>
    <row r="1599" spans="1:8" ht="21.75" customHeight="1">
      <c r="A1599" s="1" t="str">
        <f>"1201090015314168"</f>
        <v>1201090015314168</v>
      </c>
      <c r="B1599" s="1" t="s">
        <v>5966</v>
      </c>
      <c r="C1599" s="1" t="s">
        <v>5967</v>
      </c>
      <c r="D1599" s="1" t="s">
        <v>5968</v>
      </c>
      <c r="E1599" s="1" t="s">
        <v>5969</v>
      </c>
      <c r="F1599" s="1" t="s">
        <v>5963</v>
      </c>
      <c r="G1599" s="1">
        <v>770012</v>
      </c>
      <c r="H1599" s="1">
        <v>9</v>
      </c>
    </row>
    <row r="1600" spans="1:8" ht="21.75" customHeight="1">
      <c r="A1600" s="1" t="str">
        <f>"1208160030863466"</f>
        <v>1208160030863466</v>
      </c>
      <c r="B1600" s="1" t="s">
        <v>5971</v>
      </c>
      <c r="C1600" s="1" t="s">
        <v>5972</v>
      </c>
      <c r="D1600" s="1" t="s">
        <v>5973</v>
      </c>
      <c r="E1600" s="1"/>
      <c r="F1600" s="1" t="s">
        <v>5970</v>
      </c>
      <c r="G1600" s="1">
        <v>781012</v>
      </c>
      <c r="H1600" s="1">
        <v>18</v>
      </c>
    </row>
    <row r="1601" spans="1:8" ht="21.75" customHeight="1">
      <c r="A1601" s="1" t="str">
        <f>"IN30007910717847"</f>
        <v>IN30007910717847</v>
      </c>
      <c r="B1601" s="1" t="s">
        <v>5974</v>
      </c>
      <c r="C1601" s="1" t="s">
        <v>5975</v>
      </c>
      <c r="D1601" s="1" t="s">
        <v>5976</v>
      </c>
      <c r="E1601" s="1" t="s">
        <v>5977</v>
      </c>
      <c r="F1601" s="1"/>
      <c r="G1601" s="1">
        <v>781020</v>
      </c>
      <c r="H1601" s="1">
        <v>16.5</v>
      </c>
    </row>
    <row r="1602" spans="1:8" ht="21.75" customHeight="1">
      <c r="A1602" s="1" t="str">
        <f>"1208870008950500"</f>
        <v>1208870008950500</v>
      </c>
      <c r="B1602" s="1" t="s">
        <v>5979</v>
      </c>
      <c r="C1602" s="1" t="s">
        <v>5980</v>
      </c>
      <c r="D1602" s="1" t="s">
        <v>5981</v>
      </c>
      <c r="E1602" s="1" t="s">
        <v>410</v>
      </c>
      <c r="F1602" s="1" t="s">
        <v>5970</v>
      </c>
      <c r="G1602" s="1">
        <v>781022</v>
      </c>
      <c r="H1602" s="1">
        <v>3</v>
      </c>
    </row>
    <row r="1603" spans="1:8" ht="21.75" customHeight="1">
      <c r="A1603" s="1" t="str">
        <f>"IN30429522306167"</f>
        <v>IN30429522306167</v>
      </c>
      <c r="B1603" s="1" t="s">
        <v>5982</v>
      </c>
      <c r="C1603" s="1" t="s">
        <v>5983</v>
      </c>
      <c r="D1603" s="1" t="s">
        <v>5984</v>
      </c>
      <c r="E1603" s="1" t="s">
        <v>5985</v>
      </c>
      <c r="F1603" s="1"/>
      <c r="G1603" s="1">
        <v>781029</v>
      </c>
      <c r="H1603" s="1">
        <v>8.25</v>
      </c>
    </row>
    <row r="1604" spans="1:8" ht="21.75" customHeight="1">
      <c r="A1604" s="1" t="str">
        <f>"1208870037438124"</f>
        <v>1208870037438124</v>
      </c>
      <c r="B1604" s="1" t="s">
        <v>5986</v>
      </c>
      <c r="C1604" s="1" t="s">
        <v>5987</v>
      </c>
      <c r="D1604" s="1" t="s">
        <v>5988</v>
      </c>
      <c r="E1604" s="1" t="s">
        <v>5989</v>
      </c>
      <c r="F1604" s="1" t="s">
        <v>5970</v>
      </c>
      <c r="G1604" s="1">
        <v>781036</v>
      </c>
      <c r="H1604" s="1">
        <v>15</v>
      </c>
    </row>
    <row r="1605" spans="1:8" ht="21.75" customHeight="1">
      <c r="A1605" s="1" t="str">
        <f>"1208250001424345"</f>
        <v>1208250001424345</v>
      </c>
      <c r="B1605" s="1" t="s">
        <v>5991</v>
      </c>
      <c r="C1605" s="1" t="s">
        <v>5992</v>
      </c>
      <c r="D1605" s="1" t="s">
        <v>5978</v>
      </c>
      <c r="E1605" s="1"/>
      <c r="F1605" s="1" t="s">
        <v>5990</v>
      </c>
      <c r="G1605" s="1">
        <v>783380</v>
      </c>
      <c r="H1605" s="1">
        <v>150</v>
      </c>
    </row>
    <row r="1606" spans="1:8" ht="21.75" customHeight="1">
      <c r="A1606" s="1" t="str">
        <f>"1208880000426605"</f>
        <v>1208880000426605</v>
      </c>
      <c r="B1606" s="1" t="s">
        <v>5994</v>
      </c>
      <c r="C1606" s="1" t="s">
        <v>5995</v>
      </c>
      <c r="D1606" s="1"/>
      <c r="E1606" s="1"/>
      <c r="F1606" s="1" t="s">
        <v>5993</v>
      </c>
      <c r="G1606" s="1">
        <v>785635</v>
      </c>
      <c r="H1606" s="1">
        <v>15.75</v>
      </c>
    </row>
    <row r="1607" spans="1:8" ht="21.75" customHeight="1">
      <c r="A1607" s="1" t="str">
        <f>"1208870005602121"</f>
        <v>1208870005602121</v>
      </c>
      <c r="B1607" s="1" t="s">
        <v>5997</v>
      </c>
      <c r="C1607" s="1" t="s">
        <v>5998</v>
      </c>
      <c r="D1607" s="1" t="s">
        <v>5999</v>
      </c>
      <c r="E1607" s="1" t="s">
        <v>6000</v>
      </c>
      <c r="F1607" s="1" t="s">
        <v>5996</v>
      </c>
      <c r="G1607" s="1">
        <v>786001</v>
      </c>
      <c r="H1607" s="1">
        <v>75.75</v>
      </c>
    </row>
    <row r="1608" spans="1:8" ht="21.75" customHeight="1">
      <c r="A1608" s="1" t="str">
        <f>"IN30302874126004"</f>
        <v>IN30302874126004</v>
      </c>
      <c r="B1608" s="1" t="s">
        <v>6001</v>
      </c>
      <c r="C1608" s="1" t="s">
        <v>6002</v>
      </c>
      <c r="D1608" s="1" t="s">
        <v>6003</v>
      </c>
      <c r="E1608" s="1" t="s">
        <v>6004</v>
      </c>
      <c r="F1608" s="1"/>
      <c r="G1608" s="1">
        <v>788005</v>
      </c>
      <c r="H1608" s="1">
        <v>15</v>
      </c>
    </row>
    <row r="1609" spans="1:8" ht="21.75" customHeight="1">
      <c r="A1609" s="1" t="str">
        <f>"IN30611410488204"</f>
        <v>IN30611410488204</v>
      </c>
      <c r="B1609" s="1" t="s">
        <v>6005</v>
      </c>
      <c r="C1609" s="1" t="s">
        <v>6006</v>
      </c>
      <c r="D1609" s="1"/>
      <c r="E1609" s="1" t="s">
        <v>6007</v>
      </c>
      <c r="F1609" s="1"/>
      <c r="G1609" s="1">
        <v>795125</v>
      </c>
      <c r="H1609" s="1">
        <v>2.25</v>
      </c>
    </row>
    <row r="1610" spans="1:8" ht="21.75" customHeight="1">
      <c r="A1610" s="1" t="str">
        <f>"1207310000022151"</f>
        <v>1207310000022151</v>
      </c>
      <c r="B1610" s="1" t="s">
        <v>6009</v>
      </c>
      <c r="C1610" s="1" t="s">
        <v>6010</v>
      </c>
      <c r="D1610" s="1" t="s">
        <v>6011</v>
      </c>
      <c r="E1610" s="1" t="s">
        <v>410</v>
      </c>
      <c r="F1610" s="1" t="s">
        <v>6008</v>
      </c>
      <c r="G1610" s="1">
        <v>796005</v>
      </c>
      <c r="H1610" s="1">
        <v>22.5</v>
      </c>
    </row>
    <row r="1611" spans="1:8" ht="21.75" customHeight="1">
      <c r="A1611" s="1" t="str">
        <f>"1208250006103473"</f>
        <v>1208250006103473</v>
      </c>
      <c r="B1611" s="1" t="s">
        <v>6013</v>
      </c>
      <c r="C1611" s="1" t="s">
        <v>6014</v>
      </c>
      <c r="D1611" s="1" t="s">
        <v>6015</v>
      </c>
      <c r="E1611" s="1"/>
      <c r="F1611" s="1" t="s">
        <v>6012</v>
      </c>
      <c r="G1611" s="1">
        <v>797001</v>
      </c>
      <c r="H1611" s="1">
        <v>75</v>
      </c>
    </row>
    <row r="1612" spans="1:8" ht="21.75" customHeight="1">
      <c r="A1612" s="1" t="str">
        <f>"1203320005489098"</f>
        <v>1203320005489098</v>
      </c>
      <c r="B1612" s="1" t="s">
        <v>6017</v>
      </c>
      <c r="C1612" s="1" t="s">
        <v>6018</v>
      </c>
      <c r="D1612" s="1" t="s">
        <v>6019</v>
      </c>
      <c r="E1612" s="1"/>
      <c r="F1612" s="1" t="s">
        <v>6016</v>
      </c>
      <c r="G1612" s="1">
        <v>797112</v>
      </c>
      <c r="H1612" s="1">
        <v>24</v>
      </c>
    </row>
    <row r="1613" spans="1:8" ht="21.75" customHeight="1">
      <c r="A1613" s="1" t="str">
        <f>"IN30236510493159"</f>
        <v>IN30236510493159</v>
      </c>
      <c r="B1613" s="1" t="s">
        <v>6020</v>
      </c>
      <c r="C1613" s="1" t="s">
        <v>6021</v>
      </c>
      <c r="D1613" s="1" t="s">
        <v>6022</v>
      </c>
      <c r="E1613" s="1" t="s">
        <v>6023</v>
      </c>
      <c r="F1613" s="1"/>
      <c r="G1613" s="1">
        <v>800001</v>
      </c>
      <c r="H1613" s="1">
        <v>150</v>
      </c>
    </row>
    <row r="1614" spans="1:8" ht="21.75" customHeight="1">
      <c r="A1614" s="1" t="str">
        <f>"1208180003438900"</f>
        <v>1208180003438900</v>
      </c>
      <c r="B1614" s="1" t="s">
        <v>6024</v>
      </c>
      <c r="C1614" s="1" t="s">
        <v>6025</v>
      </c>
      <c r="D1614" s="1" t="s">
        <v>6026</v>
      </c>
      <c r="E1614" s="1" t="s">
        <v>6027</v>
      </c>
      <c r="F1614" s="1" t="s">
        <v>5799</v>
      </c>
      <c r="G1614" s="1">
        <v>800001</v>
      </c>
      <c r="H1614" s="1">
        <v>52.5</v>
      </c>
    </row>
    <row r="1615" spans="1:8" ht="21.75" customHeight="1">
      <c r="A1615" s="1" t="str">
        <f>"1208180038900127"</f>
        <v>1208180038900127</v>
      </c>
      <c r="B1615" s="1" t="s">
        <v>6028</v>
      </c>
      <c r="C1615" s="1" t="s">
        <v>6029</v>
      </c>
      <c r="D1615" s="1" t="s">
        <v>6030</v>
      </c>
      <c r="E1615" s="1" t="s">
        <v>6031</v>
      </c>
      <c r="F1615" s="1" t="s">
        <v>5799</v>
      </c>
      <c r="G1615" s="1">
        <v>800002</v>
      </c>
      <c r="H1615" s="1">
        <v>1.5</v>
      </c>
    </row>
    <row r="1616" spans="1:8" ht="21.75" customHeight="1">
      <c r="A1616" s="1" t="str">
        <f>"1208250025328857"</f>
        <v>1208250025328857</v>
      </c>
      <c r="B1616" s="1" t="s">
        <v>6028</v>
      </c>
      <c r="C1616" s="1" t="s">
        <v>6032</v>
      </c>
      <c r="D1616" s="1" t="s">
        <v>6033</v>
      </c>
      <c r="E1616" s="1"/>
      <c r="F1616" s="1" t="s">
        <v>5799</v>
      </c>
      <c r="G1616" s="1">
        <v>800002</v>
      </c>
      <c r="H1616" s="1">
        <v>3.75</v>
      </c>
    </row>
    <row r="1617" spans="1:8" ht="21.75" customHeight="1">
      <c r="A1617" s="1" t="str">
        <f>"IN30429521617644"</f>
        <v>IN30429521617644</v>
      </c>
      <c r="B1617" s="1" t="s">
        <v>6034</v>
      </c>
      <c r="C1617" s="1" t="s">
        <v>6035</v>
      </c>
      <c r="D1617" s="1" t="s">
        <v>6036</v>
      </c>
      <c r="E1617" s="1" t="s">
        <v>6037</v>
      </c>
      <c r="F1617" s="1"/>
      <c r="G1617" s="1">
        <v>804408</v>
      </c>
      <c r="H1617" s="1">
        <v>5.25</v>
      </c>
    </row>
    <row r="1618" spans="1:8" ht="21.75" customHeight="1">
      <c r="A1618" s="1" t="str">
        <f>"1203320012353706"</f>
        <v>1203320012353706</v>
      </c>
      <c r="B1618" s="1" t="s">
        <v>6038</v>
      </c>
      <c r="C1618" s="1" t="s">
        <v>6039</v>
      </c>
      <c r="D1618" s="1" t="s">
        <v>6040</v>
      </c>
      <c r="E1618" s="1" t="s">
        <v>6041</v>
      </c>
      <c r="F1618" s="1" t="s">
        <v>5799</v>
      </c>
      <c r="G1618" s="1">
        <v>804453</v>
      </c>
      <c r="H1618" s="1">
        <v>7.5</v>
      </c>
    </row>
    <row r="1619" spans="1:8" ht="21.75" customHeight="1">
      <c r="A1619" s="1" t="str">
        <f>"1203320020993808"</f>
        <v>1203320020993808</v>
      </c>
      <c r="B1619" s="1" t="s">
        <v>6043</v>
      </c>
      <c r="C1619" s="1" t="s">
        <v>6044</v>
      </c>
      <c r="D1619" s="1" t="s">
        <v>6045</v>
      </c>
      <c r="E1619" s="1"/>
      <c r="F1619" s="1" t="s">
        <v>6042</v>
      </c>
      <c r="G1619" s="1">
        <v>811312</v>
      </c>
      <c r="H1619" s="1">
        <v>0.75</v>
      </c>
    </row>
    <row r="1620" spans="1:8" ht="21.75" customHeight="1">
      <c r="A1620" s="1" t="str">
        <f>"IN30297810545114"</f>
        <v>IN30297810545114</v>
      </c>
      <c r="B1620" s="1" t="s">
        <v>6046</v>
      </c>
      <c r="C1620" s="1" t="s">
        <v>6047</v>
      </c>
      <c r="D1620" s="1" t="s">
        <v>6048</v>
      </c>
      <c r="E1620" s="1" t="s">
        <v>6049</v>
      </c>
      <c r="F1620" s="1"/>
      <c r="G1620" s="1">
        <v>812001</v>
      </c>
      <c r="H1620" s="1">
        <v>2.25</v>
      </c>
    </row>
    <row r="1621" spans="1:8" ht="21.75" customHeight="1">
      <c r="A1621" s="1" t="str">
        <f>"1201910103357950"</f>
        <v>1201910103357950</v>
      </c>
      <c r="B1621" s="1" t="s">
        <v>6051</v>
      </c>
      <c r="C1621" s="1" t="s">
        <v>6052</v>
      </c>
      <c r="D1621" s="1"/>
      <c r="E1621" s="1"/>
      <c r="F1621" s="1" t="s">
        <v>6050</v>
      </c>
      <c r="G1621" s="1">
        <v>813107</v>
      </c>
      <c r="H1621" s="1">
        <v>225</v>
      </c>
    </row>
    <row r="1622" spans="1:8" ht="21.75" customHeight="1">
      <c r="A1622" s="1" t="str">
        <f>"IN30114311026653"</f>
        <v>IN30114311026653</v>
      </c>
      <c r="B1622" s="1" t="s">
        <v>6053</v>
      </c>
      <c r="C1622" s="1" t="s">
        <v>6054</v>
      </c>
      <c r="D1622" s="1" t="s">
        <v>6055</v>
      </c>
      <c r="E1622" s="1" t="s">
        <v>6056</v>
      </c>
      <c r="F1622" s="1"/>
      <c r="G1622" s="1">
        <v>813203</v>
      </c>
      <c r="H1622" s="1">
        <v>7.5</v>
      </c>
    </row>
    <row r="1623" spans="1:8" ht="21.75" customHeight="1">
      <c r="A1623" s="1" t="str">
        <f>"1208160017304015"</f>
        <v>1208160017304015</v>
      </c>
      <c r="B1623" s="1" t="s">
        <v>6058</v>
      </c>
      <c r="C1623" s="1" t="s">
        <v>6059</v>
      </c>
      <c r="D1623" s="1" t="s">
        <v>6060</v>
      </c>
      <c r="E1623" s="1"/>
      <c r="F1623" s="1" t="s">
        <v>6057</v>
      </c>
      <c r="G1623" s="1">
        <v>815312</v>
      </c>
      <c r="H1623" s="1">
        <v>8.25</v>
      </c>
    </row>
    <row r="1624" spans="1:8" ht="21.75" customHeight="1">
      <c r="A1624" s="1" t="str">
        <f>"1208160024578764"</f>
        <v>1208160024578764</v>
      </c>
      <c r="B1624" s="1" t="s">
        <v>6062</v>
      </c>
      <c r="C1624" s="1" t="s">
        <v>6063</v>
      </c>
      <c r="D1624" s="1" t="s">
        <v>6064</v>
      </c>
      <c r="E1624" s="1"/>
      <c r="F1624" s="1" t="s">
        <v>6061</v>
      </c>
      <c r="G1624" s="1">
        <v>821107</v>
      </c>
      <c r="H1624" s="1">
        <v>7.5</v>
      </c>
    </row>
    <row r="1625" spans="1:8" ht="21.75" customHeight="1">
      <c r="A1625" s="1" t="str">
        <f>"1203320021444628"</f>
        <v>1203320021444628</v>
      </c>
      <c r="B1625" s="1" t="s">
        <v>6065</v>
      </c>
      <c r="C1625" s="1" t="s">
        <v>6066</v>
      </c>
      <c r="D1625" s="1" t="s">
        <v>6067</v>
      </c>
      <c r="E1625" s="1"/>
      <c r="F1625" s="1" t="s">
        <v>6061</v>
      </c>
      <c r="G1625" s="1">
        <v>821111</v>
      </c>
      <c r="H1625" s="1">
        <v>9</v>
      </c>
    </row>
    <row r="1626" spans="1:8" ht="21.75" customHeight="1">
      <c r="A1626" s="1" t="str">
        <f>"1208160003143620"</f>
        <v>1208160003143620</v>
      </c>
      <c r="B1626" s="1" t="s">
        <v>6068</v>
      </c>
      <c r="C1626" s="1" t="s">
        <v>6069</v>
      </c>
      <c r="D1626" s="1"/>
      <c r="E1626" s="1"/>
      <c r="F1626" s="1" t="s">
        <v>6070</v>
      </c>
      <c r="G1626" s="1">
        <v>824231</v>
      </c>
      <c r="H1626" s="1">
        <v>5.25</v>
      </c>
    </row>
    <row r="1627" spans="1:8" ht="21.75" customHeight="1">
      <c r="A1627" s="1" t="str">
        <f>"IN30429528982864"</f>
        <v>IN30429528982864</v>
      </c>
      <c r="B1627" s="1" t="s">
        <v>6071</v>
      </c>
      <c r="C1627" s="1" t="s">
        <v>6072</v>
      </c>
      <c r="D1627" s="1" t="s">
        <v>6073</v>
      </c>
      <c r="E1627" s="1" t="s">
        <v>6074</v>
      </c>
      <c r="F1627" s="1"/>
      <c r="G1627" s="1">
        <v>825312</v>
      </c>
      <c r="H1627" s="1">
        <v>7.5</v>
      </c>
    </row>
    <row r="1628" spans="1:8" ht="21.75" customHeight="1">
      <c r="A1628" s="1" t="str">
        <f>"1208160007172662"</f>
        <v>1208160007172662</v>
      </c>
      <c r="B1628" s="1" t="s">
        <v>6075</v>
      </c>
      <c r="C1628" s="1" t="s">
        <v>6076</v>
      </c>
      <c r="D1628" s="1" t="s">
        <v>6077</v>
      </c>
      <c r="E1628" s="1"/>
      <c r="F1628" s="1" t="s">
        <v>6078</v>
      </c>
      <c r="G1628" s="1">
        <v>825326</v>
      </c>
      <c r="H1628" s="1">
        <v>37.5</v>
      </c>
    </row>
    <row r="1629" spans="1:8" ht="21.75" customHeight="1">
      <c r="A1629" s="1" t="str">
        <f>"IN30429522670257"</f>
        <v>IN30429522670257</v>
      </c>
      <c r="B1629" s="1" t="s">
        <v>6079</v>
      </c>
      <c r="C1629" s="1" t="s">
        <v>6080</v>
      </c>
      <c r="D1629" s="1" t="s">
        <v>6081</v>
      </c>
      <c r="E1629" s="1" t="s">
        <v>6082</v>
      </c>
      <c r="F1629" s="1"/>
      <c r="G1629" s="1">
        <v>826005</v>
      </c>
      <c r="H1629" s="1">
        <v>15</v>
      </c>
    </row>
    <row r="1630" spans="1:8" ht="21.75" customHeight="1">
      <c r="A1630" s="1" t="str">
        <f>"1208160012733281"</f>
        <v>1208160012733281</v>
      </c>
      <c r="B1630" s="1" t="s">
        <v>6083</v>
      </c>
      <c r="C1630" s="1" t="s">
        <v>6084</v>
      </c>
      <c r="D1630" s="1" t="s">
        <v>6085</v>
      </c>
      <c r="E1630" s="1"/>
      <c r="F1630" s="1" t="s">
        <v>1099</v>
      </c>
      <c r="G1630" s="1">
        <v>828104</v>
      </c>
      <c r="H1630" s="1">
        <v>20.25</v>
      </c>
    </row>
    <row r="1631" spans="1:8" ht="21.75" customHeight="1">
      <c r="A1631" s="1" t="str">
        <f>"1203840000983421"</f>
        <v>1203840000983421</v>
      </c>
      <c r="B1631" s="1" t="s">
        <v>6086</v>
      </c>
      <c r="C1631" s="1" t="s">
        <v>6087</v>
      </c>
      <c r="D1631" s="1" t="s">
        <v>6088</v>
      </c>
      <c r="E1631" s="1" t="s">
        <v>6089</v>
      </c>
      <c r="F1631" s="1" t="s">
        <v>1099</v>
      </c>
      <c r="G1631" s="1">
        <v>828104</v>
      </c>
      <c r="H1631" s="1">
        <v>75</v>
      </c>
    </row>
    <row r="1632" spans="1:8" ht="21.75" customHeight="1">
      <c r="A1632" s="1" t="str">
        <f>"IN30429514350849"</f>
        <v>IN30429514350849</v>
      </c>
      <c r="B1632" s="1" t="s">
        <v>6090</v>
      </c>
      <c r="C1632" s="1" t="s">
        <v>6091</v>
      </c>
      <c r="D1632" s="1" t="s">
        <v>6092</v>
      </c>
      <c r="E1632" s="1" t="s">
        <v>6093</v>
      </c>
      <c r="F1632" s="1"/>
      <c r="G1632" s="1">
        <v>831001</v>
      </c>
      <c r="H1632" s="1">
        <v>0.75</v>
      </c>
    </row>
    <row r="1633" spans="1:8" ht="21.75" customHeight="1">
      <c r="A1633" s="1" t="str">
        <f>"1208870002532191"</f>
        <v>1208870002532191</v>
      </c>
      <c r="B1633" s="1" t="s">
        <v>6096</v>
      </c>
      <c r="C1633" s="1" t="s">
        <v>6097</v>
      </c>
      <c r="D1633" s="1" t="s">
        <v>6098</v>
      </c>
      <c r="E1633" s="1" t="s">
        <v>6099</v>
      </c>
      <c r="F1633" s="1" t="s">
        <v>6095</v>
      </c>
      <c r="G1633" s="1">
        <v>831013</v>
      </c>
      <c r="H1633" s="1">
        <v>22.5</v>
      </c>
    </row>
    <row r="1634" spans="1:8" ht="21.75" customHeight="1">
      <c r="A1634" s="1" t="str">
        <f>"1208160061148069"</f>
        <v>1208160061148069</v>
      </c>
      <c r="B1634" s="1" t="s">
        <v>6101</v>
      </c>
      <c r="C1634" s="1" t="s">
        <v>6102</v>
      </c>
      <c r="D1634" s="1"/>
      <c r="E1634" s="1"/>
      <c r="F1634" s="1" t="s">
        <v>6100</v>
      </c>
      <c r="G1634" s="1">
        <v>832107</v>
      </c>
      <c r="H1634" s="1">
        <v>3.75</v>
      </c>
    </row>
    <row r="1635" spans="1:8" ht="21.75" customHeight="1">
      <c r="A1635" s="1" t="str">
        <f>"1208870010777108"</f>
        <v>1208870010777108</v>
      </c>
      <c r="B1635" s="1" t="s">
        <v>6104</v>
      </c>
      <c r="C1635" s="1" t="s">
        <v>6105</v>
      </c>
      <c r="D1635" s="1" t="s">
        <v>6106</v>
      </c>
      <c r="E1635" s="1" t="s">
        <v>6107</v>
      </c>
      <c r="F1635" s="1" t="s">
        <v>6103</v>
      </c>
      <c r="G1635" s="1">
        <v>834001</v>
      </c>
      <c r="H1635" s="1">
        <v>16.5</v>
      </c>
    </row>
    <row r="1636" spans="1:8" ht="21.75" customHeight="1">
      <c r="A1636" s="1" t="str">
        <f>"1208870002240626"</f>
        <v>1208870002240626</v>
      </c>
      <c r="B1636" s="1" t="s">
        <v>6108</v>
      </c>
      <c r="C1636" s="1" t="s">
        <v>6109</v>
      </c>
      <c r="D1636" s="1" t="s">
        <v>6110</v>
      </c>
      <c r="E1636" s="1" t="s">
        <v>6111</v>
      </c>
      <c r="F1636" s="1" t="s">
        <v>6103</v>
      </c>
      <c r="G1636" s="1">
        <v>834005</v>
      </c>
      <c r="H1636" s="1">
        <v>11.25</v>
      </c>
    </row>
    <row r="1637" spans="1:8" ht="21.75" customHeight="1">
      <c r="A1637" s="1" t="str">
        <f>"IN30429523798687"</f>
        <v>IN30429523798687</v>
      </c>
      <c r="B1637" s="1" t="s">
        <v>6112</v>
      </c>
      <c r="C1637" s="1" t="s">
        <v>6113</v>
      </c>
      <c r="D1637" s="1" t="s">
        <v>6114</v>
      </c>
      <c r="E1637" s="1" t="s">
        <v>6115</v>
      </c>
      <c r="F1637" s="1"/>
      <c r="G1637" s="1">
        <v>834006</v>
      </c>
      <c r="H1637" s="1">
        <v>2.25</v>
      </c>
    </row>
    <row r="1638" spans="1:8" ht="21.75" customHeight="1">
      <c r="A1638" s="1" t="str">
        <f>"1208870004138239"</f>
        <v>1208870004138239</v>
      </c>
      <c r="B1638" s="1" t="s">
        <v>6116</v>
      </c>
      <c r="C1638" s="1" t="s">
        <v>6117</v>
      </c>
      <c r="D1638" s="1" t="s">
        <v>6118</v>
      </c>
      <c r="E1638" s="1" t="s">
        <v>6119</v>
      </c>
      <c r="F1638" s="1" t="s">
        <v>6103</v>
      </c>
      <c r="G1638" s="1">
        <v>834006</v>
      </c>
      <c r="H1638" s="1">
        <v>36</v>
      </c>
    </row>
    <row r="1639" spans="1:8" ht="21.75" customHeight="1">
      <c r="A1639" s="1" t="str">
        <f>"1208250001457128"</f>
        <v>1208250001457128</v>
      </c>
      <c r="B1639" s="1" t="s">
        <v>6121</v>
      </c>
      <c r="C1639" s="1" t="s">
        <v>6122</v>
      </c>
      <c r="D1639" s="1" t="s">
        <v>6123</v>
      </c>
      <c r="E1639" s="1" t="s">
        <v>6124</v>
      </c>
      <c r="F1639" s="1" t="s">
        <v>6120</v>
      </c>
      <c r="G1639" s="1">
        <v>834009</v>
      </c>
      <c r="H1639" s="1">
        <v>2.25</v>
      </c>
    </row>
    <row r="1640" spans="1:8" ht="21.75" customHeight="1">
      <c r="A1640" s="1" t="str">
        <f>"IN30297810454791"</f>
        <v>IN30297810454791</v>
      </c>
      <c r="B1640" s="1" t="s">
        <v>6125</v>
      </c>
      <c r="C1640" s="1" t="s">
        <v>6126</v>
      </c>
      <c r="D1640" s="1" t="s">
        <v>6127</v>
      </c>
      <c r="E1640" s="1" t="s">
        <v>6128</v>
      </c>
      <c r="F1640" s="1"/>
      <c r="G1640" s="1">
        <v>835222</v>
      </c>
      <c r="H1640" s="1">
        <v>7.5</v>
      </c>
    </row>
    <row r="1641" spans="1:8" ht="21.75" customHeight="1">
      <c r="A1641" s="1" t="str">
        <f>"1208160059341938"</f>
        <v>1208160059341938</v>
      </c>
      <c r="B1641" s="1" t="s">
        <v>6130</v>
      </c>
      <c r="C1641" s="1" t="s">
        <v>6131</v>
      </c>
      <c r="D1641" s="1"/>
      <c r="E1641" s="1"/>
      <c r="F1641" s="1" t="s">
        <v>6129</v>
      </c>
      <c r="G1641" s="1">
        <v>841101</v>
      </c>
      <c r="H1641" s="1">
        <v>4.5</v>
      </c>
    </row>
    <row r="1642" spans="1:8" ht="21.75" customHeight="1">
      <c r="A1642" s="1" t="str">
        <f>"IN30429514556421"</f>
        <v>IN30429514556421</v>
      </c>
      <c r="B1642" s="1" t="s">
        <v>6132</v>
      </c>
      <c r="C1642" s="1" t="s">
        <v>6133</v>
      </c>
      <c r="D1642" s="1" t="s">
        <v>6134</v>
      </c>
      <c r="E1642" s="1" t="s">
        <v>6135</v>
      </c>
      <c r="F1642" s="1"/>
      <c r="G1642" s="1">
        <v>841226</v>
      </c>
      <c r="H1642" s="1">
        <v>7.5</v>
      </c>
    </row>
    <row r="1643" spans="1:8" ht="21.75" customHeight="1">
      <c r="A1643" s="1" t="str">
        <f>"1204470007966968"</f>
        <v>1204470007966968</v>
      </c>
      <c r="B1643" s="1" t="s">
        <v>6136</v>
      </c>
      <c r="C1643" s="1" t="s">
        <v>6137</v>
      </c>
      <c r="D1643" s="1" t="s">
        <v>6138</v>
      </c>
      <c r="E1643" s="1" t="s">
        <v>6139</v>
      </c>
      <c r="F1643" s="1" t="s">
        <v>6135</v>
      </c>
      <c r="G1643" s="1">
        <v>841436</v>
      </c>
      <c r="H1643" s="1">
        <v>22.5</v>
      </c>
    </row>
    <row r="1644" spans="1:8" ht="21.75" customHeight="1">
      <c r="A1644" s="1" t="str">
        <f>"1208870008969465"</f>
        <v>1208870008969465</v>
      </c>
      <c r="B1644" s="1" t="s">
        <v>6141</v>
      </c>
      <c r="C1644" s="1" t="s">
        <v>6142</v>
      </c>
      <c r="D1644" s="1" t="s">
        <v>6143</v>
      </c>
      <c r="E1644" s="1" t="s">
        <v>6140</v>
      </c>
      <c r="F1644" s="1" t="s">
        <v>6140</v>
      </c>
      <c r="G1644" s="1">
        <v>842002</v>
      </c>
      <c r="H1644" s="1">
        <v>0.75</v>
      </c>
    </row>
    <row r="1645" spans="1:8" ht="21.75" customHeight="1">
      <c r="A1645" s="1" t="str">
        <f>"1208180005285971"</f>
        <v>1208180005285971</v>
      </c>
      <c r="B1645" s="1" t="s">
        <v>6144</v>
      </c>
      <c r="C1645" s="1" t="s">
        <v>6145</v>
      </c>
      <c r="D1645" s="1" t="s">
        <v>6146</v>
      </c>
      <c r="E1645" s="1" t="s">
        <v>6147</v>
      </c>
      <c r="F1645" s="1" t="s">
        <v>6140</v>
      </c>
      <c r="G1645" s="1">
        <v>842002</v>
      </c>
      <c r="H1645" s="1">
        <v>71.25</v>
      </c>
    </row>
    <row r="1646" spans="1:8" ht="21.75" customHeight="1">
      <c r="A1646" s="1" t="str">
        <f>"IN30429521752139"</f>
        <v>IN30429521752139</v>
      </c>
      <c r="B1646" s="1" t="s">
        <v>6148</v>
      </c>
      <c r="C1646" s="1" t="s">
        <v>6149</v>
      </c>
      <c r="D1646" s="1" t="s">
        <v>6140</v>
      </c>
      <c r="E1646" s="1" t="s">
        <v>6150</v>
      </c>
      <c r="F1646" s="1"/>
      <c r="G1646" s="1">
        <v>843112</v>
      </c>
      <c r="H1646" s="1">
        <v>6</v>
      </c>
    </row>
    <row r="1647" spans="1:8" ht="21.75" customHeight="1">
      <c r="A1647" s="1" t="str">
        <f>"1208870034337123"</f>
        <v>1208870034337123</v>
      </c>
      <c r="B1647" s="1" t="s">
        <v>6152</v>
      </c>
      <c r="C1647" s="1" t="s">
        <v>6153</v>
      </c>
      <c r="D1647" s="1" t="s">
        <v>6154</v>
      </c>
      <c r="E1647" s="1" t="s">
        <v>6155</v>
      </c>
      <c r="F1647" s="1" t="s">
        <v>6151</v>
      </c>
      <c r="G1647" s="1">
        <v>843316</v>
      </c>
      <c r="H1647" s="1">
        <v>4.5</v>
      </c>
    </row>
    <row r="1648" spans="1:8" ht="21.75" customHeight="1">
      <c r="A1648" s="1" t="str">
        <f>"1208160013983554"</f>
        <v>1208160013983554</v>
      </c>
      <c r="B1648" s="1" t="s">
        <v>6157</v>
      </c>
      <c r="C1648" s="1" t="s">
        <v>6158</v>
      </c>
      <c r="D1648" s="1" t="s">
        <v>6159</v>
      </c>
      <c r="E1648" s="1"/>
      <c r="F1648" s="1" t="s">
        <v>6156</v>
      </c>
      <c r="G1648" s="1">
        <v>845103</v>
      </c>
      <c r="H1648" s="1">
        <v>7.5</v>
      </c>
    </row>
    <row r="1649" spans="1:8" ht="21.75" customHeight="1">
      <c r="A1649" s="1" t="str">
        <f>"IN30051312639603"</f>
        <v>IN30051312639603</v>
      </c>
      <c r="B1649" s="1" t="s">
        <v>6160</v>
      </c>
      <c r="C1649" s="1" t="s">
        <v>6161</v>
      </c>
      <c r="D1649" s="1" t="s">
        <v>6162</v>
      </c>
      <c r="E1649" s="1" t="s">
        <v>6163</v>
      </c>
      <c r="F1649" s="1"/>
      <c r="G1649" s="1">
        <v>845438</v>
      </c>
      <c r="H1649" s="1">
        <v>128.25</v>
      </c>
    </row>
    <row r="1650" spans="1:8" ht="21.75" customHeight="1">
      <c r="A1650" s="1" t="str">
        <f>"IN30429519778849"</f>
        <v>IN30429519778849</v>
      </c>
      <c r="B1650" s="1" t="s">
        <v>6165</v>
      </c>
      <c r="C1650" s="1" t="s">
        <v>6166</v>
      </c>
      <c r="D1650" s="1" t="s">
        <v>6167</v>
      </c>
      <c r="E1650" s="1" t="s">
        <v>6168</v>
      </c>
      <c r="F1650" s="1"/>
      <c r="G1650" s="1">
        <v>848237</v>
      </c>
      <c r="H1650" s="1">
        <v>7.5</v>
      </c>
    </row>
    <row r="1651" spans="1:8" ht="21.75" customHeight="1">
      <c r="A1651" s="1" t="str">
        <f>"1208180008522432"</f>
        <v>1208180008522432</v>
      </c>
      <c r="B1651" s="1" t="s">
        <v>6170</v>
      </c>
      <c r="C1651" s="1" t="s">
        <v>6171</v>
      </c>
      <c r="D1651" s="1"/>
      <c r="E1651" s="1"/>
      <c r="F1651" s="1" t="s">
        <v>6169</v>
      </c>
      <c r="G1651" s="1">
        <v>851129</v>
      </c>
      <c r="H1651" s="1">
        <v>17.25</v>
      </c>
    </row>
    <row r="1652" spans="1:8" ht="21.75" customHeight="1">
      <c r="A1652" s="1" t="str">
        <f>"1201060002142168"</f>
        <v>1201060002142168</v>
      </c>
      <c r="B1652" s="1" t="s">
        <v>6173</v>
      </c>
      <c r="C1652" s="1" t="s">
        <v>6174</v>
      </c>
      <c r="D1652" s="1" t="s">
        <v>6175</v>
      </c>
      <c r="E1652" s="1" t="s">
        <v>6176</v>
      </c>
      <c r="F1652" s="1" t="s">
        <v>6172</v>
      </c>
      <c r="G1652" s="1">
        <v>852201</v>
      </c>
      <c r="H1652" s="1">
        <v>37.5</v>
      </c>
    </row>
    <row r="1653" spans="1:8" ht="21.75" customHeight="1">
      <c r="A1653" s="1" t="str">
        <f>"IN30429526821183"</f>
        <v>IN30429526821183</v>
      </c>
      <c r="B1653" s="1" t="s">
        <v>6177</v>
      </c>
      <c r="C1653" s="1" t="s">
        <v>6178</v>
      </c>
      <c r="D1653" s="1" t="s">
        <v>6179</v>
      </c>
      <c r="E1653" s="1" t="s">
        <v>6180</v>
      </c>
      <c r="F1653" s="1"/>
      <c r="G1653" s="1">
        <v>853204</v>
      </c>
      <c r="H1653" s="1">
        <v>0.75</v>
      </c>
    </row>
    <row r="1654" spans="1:8" ht="21.75" customHeight="1">
      <c r="A1654" s="1" t="str">
        <f>"1208870006277308"</f>
        <v>1208870006277308</v>
      </c>
      <c r="B1654" s="1" t="s">
        <v>6182</v>
      </c>
      <c r="C1654" s="1" t="s">
        <v>6183</v>
      </c>
      <c r="D1654" s="1" t="s">
        <v>410</v>
      </c>
      <c r="E1654" s="1" t="s">
        <v>410</v>
      </c>
      <c r="F1654" s="1" t="s">
        <v>6181</v>
      </c>
      <c r="G1654" s="1">
        <v>854340</v>
      </c>
      <c r="H1654" s="1">
        <v>3.75</v>
      </c>
    </row>
    <row r="1655" spans="1:8" ht="21.75" customHeight="1">
      <c r="A1655" s="1" t="str">
        <f>"1208870021617649"</f>
        <v>1208870021617649</v>
      </c>
      <c r="B1655" s="1" t="s">
        <v>6185</v>
      </c>
      <c r="C1655" s="1" t="s">
        <v>6186</v>
      </c>
      <c r="D1655" s="1" t="s">
        <v>6187</v>
      </c>
      <c r="E1655" s="1" t="s">
        <v>410</v>
      </c>
      <c r="F1655" s="1" t="s">
        <v>6184</v>
      </c>
      <c r="G1655" s="1">
        <v>855117</v>
      </c>
      <c r="H1655" s="1">
        <v>6.75</v>
      </c>
    </row>
    <row r="1656" spans="1:8" ht="21.75" customHeight="1">
      <c r="A1656" s="1" t="str">
        <f>"1203320041639368"</f>
        <v>1203320041639368</v>
      </c>
      <c r="B1656" s="1" t="s">
        <v>6188</v>
      </c>
      <c r="C1656" s="1" t="s">
        <v>6189</v>
      </c>
      <c r="D1656" s="1" t="s">
        <v>6190</v>
      </c>
      <c r="E1656" s="1" t="s">
        <v>6191</v>
      </c>
      <c r="F1656" s="1" t="s">
        <v>258</v>
      </c>
      <c r="G1656" s="1">
        <v>431401</v>
      </c>
      <c r="H1656" s="1">
        <v>0.75</v>
      </c>
    </row>
    <row r="1657" spans="1:8" ht="21.75" customHeight="1">
      <c r="A1657" s="1" t="str">
        <f>"1202980000098163"</f>
        <v>1202980000098163</v>
      </c>
      <c r="B1657" s="1" t="s">
        <v>6193</v>
      </c>
      <c r="C1657" s="1" t="s">
        <v>6194</v>
      </c>
      <c r="D1657" s="1"/>
      <c r="E1657" s="1"/>
      <c r="F1657" s="1" t="s">
        <v>547</v>
      </c>
      <c r="G1657" s="1"/>
      <c r="H1657" s="1">
        <v>468.75</v>
      </c>
    </row>
    <row r="1658" spans="1:8" ht="21.75" customHeight="1">
      <c r="A1658" s="1" t="str">
        <f>"1203280000153884"</f>
        <v>1203280000153884</v>
      </c>
      <c r="B1658" s="1" t="s">
        <v>6195</v>
      </c>
      <c r="C1658" s="1" t="s">
        <v>6196</v>
      </c>
      <c r="D1658" s="1" t="s">
        <v>6197</v>
      </c>
      <c r="E1658" s="1" t="s">
        <v>6198</v>
      </c>
      <c r="F1658" s="1" t="s">
        <v>6199</v>
      </c>
      <c r="G1658" s="1"/>
      <c r="H1658" s="1">
        <v>150</v>
      </c>
    </row>
    <row r="1659" spans="1:8" ht="21.75" customHeight="1">
      <c r="A1659" s="1" t="str">
        <f>"1203280000007990"</f>
        <v>1203280000007990</v>
      </c>
      <c r="B1659" s="1" t="s">
        <v>6200</v>
      </c>
      <c r="C1659" s="1" t="s">
        <v>6201</v>
      </c>
      <c r="D1659" s="1" t="s">
        <v>6202</v>
      </c>
      <c r="E1659" s="1" t="s">
        <v>6203</v>
      </c>
      <c r="F1659" s="1" t="s">
        <v>59</v>
      </c>
      <c r="G1659" s="1"/>
      <c r="H1659" s="1">
        <v>78.75</v>
      </c>
    </row>
    <row r="1660" spans="1:8" ht="21.75" customHeight="1">
      <c r="A1660" s="1" t="str">
        <f>"1202390000114167"</f>
        <v>1202390000114167</v>
      </c>
      <c r="B1660" s="1" t="s">
        <v>6204</v>
      </c>
      <c r="C1660" s="1" t="s">
        <v>6205</v>
      </c>
      <c r="D1660" s="1" t="s">
        <v>6206</v>
      </c>
      <c r="E1660" s="1" t="s">
        <v>37</v>
      </c>
      <c r="F1660" s="1" t="s">
        <v>37</v>
      </c>
      <c r="G1660" s="1"/>
      <c r="H1660" s="1">
        <v>7.5</v>
      </c>
    </row>
    <row r="1661" spans="1:8" ht="21.75" customHeight="1">
      <c r="A1661" s="1" t="str">
        <f>"1204180000037585"</f>
        <v>1204180000037585</v>
      </c>
      <c r="B1661" s="1" t="s">
        <v>6207</v>
      </c>
      <c r="C1661" s="1" t="s">
        <v>6208</v>
      </c>
      <c r="D1661" s="3">
        <v>12614</v>
      </c>
      <c r="E1661" s="1" t="s">
        <v>6209</v>
      </c>
      <c r="F1661" s="1" t="s">
        <v>134</v>
      </c>
      <c r="G1661" s="1">
        <v>24001</v>
      </c>
      <c r="H1661" s="1">
        <v>37.5</v>
      </c>
    </row>
    <row r="1662" spans="1:8" ht="21.75" customHeight="1">
      <c r="A1662" s="1" t="str">
        <f>"1204760000204176"</f>
        <v>1204760000204176</v>
      </c>
      <c r="B1662" s="1" t="s">
        <v>6210</v>
      </c>
      <c r="C1662" s="1" t="s">
        <v>6211</v>
      </c>
      <c r="D1662" s="1" t="s">
        <v>6212</v>
      </c>
      <c r="E1662" s="1" t="s">
        <v>6213</v>
      </c>
      <c r="F1662" s="1" t="s">
        <v>42</v>
      </c>
      <c r="G1662" s="1">
        <v>68306</v>
      </c>
      <c r="H1662" s="1">
        <v>450</v>
      </c>
    </row>
    <row r="1663" spans="1:8" ht="21.75" customHeight="1">
      <c r="A1663" s="1" t="str">
        <f>"1204470004961832"</f>
        <v>1204470004961832</v>
      </c>
      <c r="B1663" s="1" t="s">
        <v>6214</v>
      </c>
      <c r="C1663" s="1" t="s">
        <v>6215</v>
      </c>
      <c r="D1663" s="1"/>
      <c r="E1663" s="1"/>
      <c r="F1663" s="1" t="s">
        <v>1646</v>
      </c>
      <c r="G1663" s="1">
        <v>108014</v>
      </c>
      <c r="H1663" s="1">
        <v>0.75</v>
      </c>
    </row>
    <row r="1664" spans="1:8" ht="21.75" customHeight="1">
      <c r="A1664" s="1" t="str">
        <f>"IN30023913241224"</f>
        <v>IN30023913241224</v>
      </c>
      <c r="B1664" s="1" t="s">
        <v>6216</v>
      </c>
      <c r="C1664" s="1" t="s">
        <v>6217</v>
      </c>
      <c r="D1664" s="1" t="s">
        <v>6218</v>
      </c>
      <c r="E1664" s="1" t="s">
        <v>6219</v>
      </c>
      <c r="F1664" s="1"/>
      <c r="G1664" s="1">
        <v>110001</v>
      </c>
      <c r="H1664" s="1">
        <v>375</v>
      </c>
    </row>
    <row r="1665" spans="1:8" ht="21.75" customHeight="1">
      <c r="A1665" s="1" t="str">
        <f>"IN30323710021896"</f>
        <v>IN30323710021896</v>
      </c>
      <c r="B1665" s="1" t="s">
        <v>6220</v>
      </c>
      <c r="C1665" s="1" t="s">
        <v>6221</v>
      </c>
      <c r="D1665" s="1" t="s">
        <v>6222</v>
      </c>
      <c r="E1665" s="1" t="s">
        <v>70</v>
      </c>
      <c r="F1665" s="1"/>
      <c r="G1665" s="1">
        <v>110003</v>
      </c>
      <c r="H1665" s="1">
        <v>75</v>
      </c>
    </row>
    <row r="1666" spans="1:8" ht="21.75" customHeight="1">
      <c r="A1666" s="1" t="str">
        <f>"1201910100658908"</f>
        <v>1201910100658908</v>
      </c>
      <c r="B1666" s="1" t="s">
        <v>6223</v>
      </c>
      <c r="C1666" s="1" t="s">
        <v>6224</v>
      </c>
      <c r="D1666" s="1" t="s">
        <v>1281</v>
      </c>
      <c r="E1666" s="1"/>
      <c r="F1666" s="1" t="s">
        <v>76</v>
      </c>
      <c r="G1666" s="1">
        <v>110006</v>
      </c>
      <c r="H1666" s="1">
        <v>75</v>
      </c>
    </row>
    <row r="1667" spans="1:8" ht="21.75" customHeight="1">
      <c r="A1667" s="1" t="str">
        <f>"IN30223610020334"</f>
        <v>IN30223610020334</v>
      </c>
      <c r="B1667" s="1" t="s">
        <v>6225</v>
      </c>
      <c r="C1667" s="1" t="s">
        <v>6226</v>
      </c>
      <c r="D1667" s="1" t="s">
        <v>6227</v>
      </c>
      <c r="E1667" s="1" t="s">
        <v>6228</v>
      </c>
      <c r="F1667" s="1"/>
      <c r="G1667" s="1">
        <v>110006</v>
      </c>
      <c r="H1667" s="1">
        <v>36</v>
      </c>
    </row>
    <row r="1668" spans="1:8" ht="21.75" customHeight="1">
      <c r="A1668" s="1" t="str">
        <f>"1202060000069367"</f>
        <v>1202060000069367</v>
      </c>
      <c r="B1668" s="1" t="s">
        <v>6229</v>
      </c>
      <c r="C1668" s="1">
        <v>7232</v>
      </c>
      <c r="D1668" s="1" t="s">
        <v>6230</v>
      </c>
      <c r="E1668" s="1"/>
      <c r="F1668" s="1" t="s">
        <v>70</v>
      </c>
      <c r="G1668" s="1">
        <v>110007</v>
      </c>
      <c r="H1668" s="1">
        <v>75</v>
      </c>
    </row>
    <row r="1669" spans="1:8" ht="21.75" customHeight="1">
      <c r="A1669" s="1" t="str">
        <f>"IN30021412434883"</f>
        <v>IN30021412434883</v>
      </c>
      <c r="B1669" s="1" t="s">
        <v>6231</v>
      </c>
      <c r="C1669" s="1" t="s">
        <v>6232</v>
      </c>
      <c r="D1669" s="1" t="s">
        <v>1145</v>
      </c>
      <c r="E1669" s="1" t="s">
        <v>70</v>
      </c>
      <c r="F1669" s="1"/>
      <c r="G1669" s="1">
        <v>110008</v>
      </c>
      <c r="H1669" s="1">
        <v>375</v>
      </c>
    </row>
    <row r="1670" spans="1:8" ht="21.75" customHeight="1">
      <c r="A1670" s="1" t="str">
        <f>"IN30072410076993"</f>
        <v>IN30072410076993</v>
      </c>
      <c r="B1670" s="1" t="s">
        <v>6233</v>
      </c>
      <c r="C1670" s="1">
        <v>188</v>
      </c>
      <c r="D1670" s="1" t="s">
        <v>1485</v>
      </c>
      <c r="E1670" s="1" t="s">
        <v>6234</v>
      </c>
      <c r="F1670" s="1"/>
      <c r="G1670" s="1">
        <v>110009</v>
      </c>
      <c r="H1670" s="1">
        <v>75</v>
      </c>
    </row>
    <row r="1671" spans="1:8" ht="21.75" customHeight="1">
      <c r="A1671" s="1" t="str">
        <f>"IN30051316884170"</f>
        <v>IN30051316884170</v>
      </c>
      <c r="B1671" s="1" t="s">
        <v>6235</v>
      </c>
      <c r="C1671" s="1" t="s">
        <v>6236</v>
      </c>
      <c r="D1671" s="1" t="s">
        <v>70</v>
      </c>
      <c r="E1671" s="1" t="s">
        <v>76</v>
      </c>
      <c r="F1671" s="1"/>
      <c r="G1671" s="1">
        <v>110018</v>
      </c>
      <c r="H1671" s="1">
        <v>0.75</v>
      </c>
    </row>
    <row r="1672" spans="1:8" ht="21.75" customHeight="1">
      <c r="A1672" s="1" t="str">
        <f>"IN30051314304716"</f>
        <v>IN30051314304716</v>
      </c>
      <c r="B1672" s="1" t="s">
        <v>6237</v>
      </c>
      <c r="C1672" s="1" t="s">
        <v>6238</v>
      </c>
      <c r="D1672" s="1" t="s">
        <v>6239</v>
      </c>
      <c r="E1672" s="1" t="s">
        <v>84</v>
      </c>
      <c r="F1672" s="1"/>
      <c r="G1672" s="1">
        <v>110018</v>
      </c>
      <c r="H1672" s="1">
        <v>0.75</v>
      </c>
    </row>
    <row r="1673" spans="1:8" ht="21.75" customHeight="1">
      <c r="A1673" s="1" t="str">
        <f>"IN30045011869499"</f>
        <v>IN30045011869499</v>
      </c>
      <c r="B1673" s="1" t="s">
        <v>6240</v>
      </c>
      <c r="C1673" s="1" t="s">
        <v>6241</v>
      </c>
      <c r="D1673" s="1" t="s">
        <v>6242</v>
      </c>
      <c r="E1673" s="1" t="s">
        <v>6243</v>
      </c>
      <c r="F1673" s="1"/>
      <c r="G1673" s="1">
        <v>110019</v>
      </c>
      <c r="H1673" s="1">
        <v>375</v>
      </c>
    </row>
    <row r="1674" spans="1:8" ht="21.75" customHeight="1">
      <c r="A1674" s="1" t="str">
        <f>"IN30018311281942"</f>
        <v>IN30018311281942</v>
      </c>
      <c r="B1674" s="1" t="s">
        <v>6244</v>
      </c>
      <c r="C1674" s="1" t="s">
        <v>6245</v>
      </c>
      <c r="D1674" s="1" t="s">
        <v>6246</v>
      </c>
      <c r="E1674" s="1" t="s">
        <v>70</v>
      </c>
      <c r="F1674" s="1"/>
      <c r="G1674" s="1">
        <v>110019</v>
      </c>
      <c r="H1674" s="1">
        <v>37.5</v>
      </c>
    </row>
    <row r="1675" spans="1:8" ht="21.75" customHeight="1">
      <c r="A1675" s="1" t="str">
        <f>"1204470003464303"</f>
        <v>1204470003464303</v>
      </c>
      <c r="B1675" s="1" t="s">
        <v>6247</v>
      </c>
      <c r="C1675" s="1" t="s">
        <v>6248</v>
      </c>
      <c r="D1675" s="1" t="s">
        <v>6249</v>
      </c>
      <c r="E1675" s="1"/>
      <c r="F1675" s="1" t="s">
        <v>70</v>
      </c>
      <c r="G1675" s="1">
        <v>110027</v>
      </c>
      <c r="H1675" s="1">
        <v>1.5</v>
      </c>
    </row>
    <row r="1676" spans="1:8" ht="21.75" customHeight="1">
      <c r="A1676" s="1" t="str">
        <f>"1203350001507434"</f>
        <v>1203350001507434</v>
      </c>
      <c r="B1676" s="1" t="s">
        <v>6250</v>
      </c>
      <c r="C1676" s="1" t="s">
        <v>6251</v>
      </c>
      <c r="D1676" s="1" t="s">
        <v>6252</v>
      </c>
      <c r="E1676" s="1" t="s">
        <v>76</v>
      </c>
      <c r="F1676" s="1" t="s">
        <v>76</v>
      </c>
      <c r="G1676" s="1">
        <v>110033</v>
      </c>
      <c r="H1676" s="1">
        <v>75</v>
      </c>
    </row>
    <row r="1677" spans="1:8" ht="21.75" customHeight="1">
      <c r="A1677" s="1" t="str">
        <f>"004420"</f>
        <v>004420</v>
      </c>
      <c r="B1677" s="1" t="s">
        <v>6253</v>
      </c>
      <c r="C1677" s="1" t="s">
        <v>6254</v>
      </c>
      <c r="D1677" s="1" t="s">
        <v>6255</v>
      </c>
      <c r="E1677" s="1" t="s">
        <v>6256</v>
      </c>
      <c r="F1677" s="1" t="s">
        <v>76</v>
      </c>
      <c r="G1677" s="1">
        <v>110033</v>
      </c>
      <c r="H1677" s="1">
        <v>375</v>
      </c>
    </row>
    <row r="1678" spans="1:8" ht="21.75" customHeight="1">
      <c r="A1678" s="1" t="str">
        <f>"IN30096610013400"</f>
        <v>IN30096610013400</v>
      </c>
      <c r="B1678" s="1" t="s">
        <v>6257</v>
      </c>
      <c r="C1678" s="1" t="s">
        <v>6258</v>
      </c>
      <c r="D1678" s="1" t="s">
        <v>6259</v>
      </c>
      <c r="E1678" s="1" t="s">
        <v>6260</v>
      </c>
      <c r="F1678" s="1"/>
      <c r="G1678" s="1">
        <v>110034</v>
      </c>
      <c r="H1678" s="1">
        <v>150</v>
      </c>
    </row>
    <row r="1679" spans="1:8" ht="21.75" customHeight="1">
      <c r="A1679" s="1" t="str">
        <f>"1203320005743199"</f>
        <v>1203320005743199</v>
      </c>
      <c r="B1679" s="1" t="s">
        <v>6261</v>
      </c>
      <c r="C1679" s="1" t="s">
        <v>6262</v>
      </c>
      <c r="D1679" s="1" t="s">
        <v>6263</v>
      </c>
      <c r="E1679" s="1"/>
      <c r="F1679" s="1" t="s">
        <v>76</v>
      </c>
      <c r="G1679" s="1">
        <v>110040</v>
      </c>
      <c r="H1679" s="1">
        <v>67</v>
      </c>
    </row>
    <row r="1680" spans="1:8" ht="21.75" customHeight="1">
      <c r="A1680" s="1" t="str">
        <f>"1208870024727819"</f>
        <v>1208870024727819</v>
      </c>
      <c r="B1680" s="1" t="s">
        <v>6264</v>
      </c>
      <c r="C1680" s="1" t="s">
        <v>6265</v>
      </c>
      <c r="D1680" s="1" t="s">
        <v>6266</v>
      </c>
      <c r="E1680" s="1" t="s">
        <v>410</v>
      </c>
      <c r="F1680" s="1" t="s">
        <v>70</v>
      </c>
      <c r="G1680" s="1">
        <v>110045</v>
      </c>
      <c r="H1680" s="1">
        <v>0.75</v>
      </c>
    </row>
    <row r="1681" spans="1:8" ht="21.75" customHeight="1">
      <c r="A1681" s="1" t="str">
        <f>"IN30226912574929"</f>
        <v>IN30226912574929</v>
      </c>
      <c r="B1681" s="1" t="s">
        <v>6267</v>
      </c>
      <c r="C1681" s="1" t="s">
        <v>6268</v>
      </c>
      <c r="D1681" s="1" t="s">
        <v>6269</v>
      </c>
      <c r="E1681" s="1" t="s">
        <v>6270</v>
      </c>
      <c r="F1681" s="1"/>
      <c r="G1681" s="1">
        <v>110046</v>
      </c>
      <c r="H1681" s="1">
        <v>1.5</v>
      </c>
    </row>
    <row r="1682" spans="1:8" ht="21.75" customHeight="1">
      <c r="A1682" s="1" t="str">
        <f>"IN30020610106633"</f>
        <v>IN30020610106633</v>
      </c>
      <c r="B1682" s="1" t="s">
        <v>6271</v>
      </c>
      <c r="C1682" s="1" t="s">
        <v>6272</v>
      </c>
      <c r="D1682" s="1" t="s">
        <v>6273</v>
      </c>
      <c r="E1682" s="1" t="s">
        <v>70</v>
      </c>
      <c r="F1682" s="1"/>
      <c r="G1682" s="1">
        <v>110048</v>
      </c>
      <c r="H1682" s="1">
        <v>150</v>
      </c>
    </row>
    <row r="1683" spans="1:8" ht="21.75" customHeight="1">
      <c r="A1683" s="1" t="str">
        <f>"IN30115113059899"</f>
        <v>IN30115113059899</v>
      </c>
      <c r="B1683" s="1" t="s">
        <v>6274</v>
      </c>
      <c r="C1683" s="1" t="s">
        <v>6275</v>
      </c>
      <c r="D1683" s="1" t="s">
        <v>6276</v>
      </c>
      <c r="E1683" s="1" t="s">
        <v>6277</v>
      </c>
      <c r="F1683" s="1"/>
      <c r="G1683" s="1">
        <v>110049</v>
      </c>
      <c r="H1683" s="1">
        <v>37.5</v>
      </c>
    </row>
    <row r="1684" spans="1:8" ht="21.75" customHeight="1">
      <c r="A1684" s="1" t="str">
        <f>"1206690001225668"</f>
        <v>1206690001225668</v>
      </c>
      <c r="B1684" s="1" t="s">
        <v>6278</v>
      </c>
      <c r="C1684" s="1" t="s">
        <v>6279</v>
      </c>
      <c r="D1684" s="1" t="s">
        <v>79</v>
      </c>
      <c r="E1684" s="1" t="s">
        <v>6280</v>
      </c>
      <c r="F1684" s="1" t="s">
        <v>76</v>
      </c>
      <c r="G1684" s="1">
        <v>110052</v>
      </c>
      <c r="H1684" s="1">
        <v>1125</v>
      </c>
    </row>
    <row r="1685" spans="1:8" ht="21.75" customHeight="1">
      <c r="A1685" s="1" t="str">
        <f>"IN30051313080576"</f>
        <v>IN30051313080576</v>
      </c>
      <c r="B1685" s="1" t="s">
        <v>6281</v>
      </c>
      <c r="C1685" s="1" t="s">
        <v>6282</v>
      </c>
      <c r="D1685" s="1" t="s">
        <v>6283</v>
      </c>
      <c r="E1685" s="1" t="s">
        <v>6284</v>
      </c>
      <c r="F1685" s="1"/>
      <c r="G1685" s="1">
        <v>110053</v>
      </c>
      <c r="H1685" s="1">
        <v>27.75</v>
      </c>
    </row>
    <row r="1686" spans="1:8" ht="21.75" customHeight="1">
      <c r="A1686" s="1" t="str">
        <f>"1201580000563331"</f>
        <v>1201580000563331</v>
      </c>
      <c r="B1686" s="1" t="s">
        <v>6285</v>
      </c>
      <c r="C1686" s="1" t="s">
        <v>6286</v>
      </c>
      <c r="D1686" s="1" t="s">
        <v>6287</v>
      </c>
      <c r="E1686" s="1" t="s">
        <v>6288</v>
      </c>
      <c r="F1686" s="1" t="s">
        <v>1196</v>
      </c>
      <c r="G1686" s="1">
        <v>110058</v>
      </c>
      <c r="H1686" s="1">
        <v>17.25</v>
      </c>
    </row>
    <row r="1687" spans="1:8" ht="21.75" customHeight="1">
      <c r="A1687" s="1" t="str">
        <f>"IN30159010012885"</f>
        <v>IN30159010012885</v>
      </c>
      <c r="B1687" s="1" t="s">
        <v>6289</v>
      </c>
      <c r="C1687" s="1" t="s">
        <v>6290</v>
      </c>
      <c r="D1687" s="1" t="s">
        <v>6291</v>
      </c>
      <c r="E1687" s="1" t="s">
        <v>70</v>
      </c>
      <c r="F1687" s="1"/>
      <c r="G1687" s="1">
        <v>110058</v>
      </c>
      <c r="H1687" s="1">
        <v>15</v>
      </c>
    </row>
    <row r="1688" spans="1:8" ht="21.75" customHeight="1">
      <c r="A1688" s="1" t="str">
        <f>"1302080000160496"</f>
        <v>1302080000160496</v>
      </c>
      <c r="B1688" s="1" t="s">
        <v>6292</v>
      </c>
      <c r="C1688" s="1" t="s">
        <v>6293</v>
      </c>
      <c r="D1688" s="1" t="s">
        <v>3973</v>
      </c>
      <c r="E1688" s="1" t="s">
        <v>6294</v>
      </c>
      <c r="F1688" s="1" t="s">
        <v>70</v>
      </c>
      <c r="G1688" s="1">
        <v>110063</v>
      </c>
      <c r="H1688" s="1">
        <v>15</v>
      </c>
    </row>
    <row r="1689" spans="1:8" ht="21.75" customHeight="1">
      <c r="A1689" s="1" t="str">
        <f>"IN30021412007578"</f>
        <v>IN30021412007578</v>
      </c>
      <c r="B1689" s="1" t="s">
        <v>6295</v>
      </c>
      <c r="C1689" s="1" t="s">
        <v>6296</v>
      </c>
      <c r="D1689" s="1" t="s">
        <v>6297</v>
      </c>
      <c r="E1689" s="1" t="s">
        <v>6298</v>
      </c>
      <c r="F1689" s="1"/>
      <c r="G1689" s="1">
        <v>110063</v>
      </c>
      <c r="H1689" s="1">
        <v>0.75</v>
      </c>
    </row>
    <row r="1690" spans="1:8" ht="21.75" customHeight="1">
      <c r="A1690" s="1" t="str">
        <f>"1203350001451464"</f>
        <v>1203350001451464</v>
      </c>
      <c r="B1690" s="1" t="s">
        <v>6299</v>
      </c>
      <c r="C1690" s="1" t="s">
        <v>6300</v>
      </c>
      <c r="D1690" s="1" t="s">
        <v>1249</v>
      </c>
      <c r="E1690" s="1" t="s">
        <v>6301</v>
      </c>
      <c r="F1690" s="1" t="s">
        <v>70</v>
      </c>
      <c r="G1690" s="1">
        <v>110064</v>
      </c>
      <c r="H1690" s="1">
        <v>75</v>
      </c>
    </row>
    <row r="1691" spans="1:8" ht="21.75" customHeight="1">
      <c r="A1691" s="1" t="str">
        <f>"1203320000252537"</f>
        <v>1203320000252537</v>
      </c>
      <c r="B1691" s="1" t="s">
        <v>6302</v>
      </c>
      <c r="C1691" s="1" t="s">
        <v>6303</v>
      </c>
      <c r="D1691" s="1"/>
      <c r="E1691" s="1"/>
      <c r="F1691" s="1" t="s">
        <v>70</v>
      </c>
      <c r="G1691" s="1">
        <v>110070</v>
      </c>
      <c r="H1691" s="1">
        <v>36.25</v>
      </c>
    </row>
    <row r="1692" spans="1:8" ht="21.75" customHeight="1">
      <c r="A1692" s="1" t="str">
        <f>"IN30011810835283"</f>
        <v>IN30011810835283</v>
      </c>
      <c r="B1692" s="1" t="s">
        <v>6304</v>
      </c>
      <c r="C1692" s="1" t="s">
        <v>6305</v>
      </c>
      <c r="D1692" s="1" t="s">
        <v>6306</v>
      </c>
      <c r="E1692" s="1" t="s">
        <v>6307</v>
      </c>
      <c r="F1692" s="1"/>
      <c r="G1692" s="1">
        <v>110085</v>
      </c>
      <c r="H1692" s="1">
        <v>7.5</v>
      </c>
    </row>
    <row r="1693" spans="1:8" ht="21.75" customHeight="1">
      <c r="A1693" s="1" t="str">
        <f>"IN30011811286903"</f>
        <v>IN30011811286903</v>
      </c>
      <c r="B1693" s="1" t="s">
        <v>6308</v>
      </c>
      <c r="C1693" s="1" t="s">
        <v>6309</v>
      </c>
      <c r="D1693" s="1" t="s">
        <v>6310</v>
      </c>
      <c r="E1693" s="1" t="s">
        <v>6311</v>
      </c>
      <c r="F1693" s="1"/>
      <c r="G1693" s="1">
        <v>110085</v>
      </c>
      <c r="H1693" s="1">
        <v>450</v>
      </c>
    </row>
    <row r="1694" spans="1:8" ht="21.75" customHeight="1">
      <c r="A1694" s="1" t="str">
        <f>"IN30114310000924"</f>
        <v>IN30114310000924</v>
      </c>
      <c r="B1694" s="1" t="s">
        <v>6312</v>
      </c>
      <c r="C1694" s="1" t="s">
        <v>6313</v>
      </c>
      <c r="D1694" s="1" t="s">
        <v>6314</v>
      </c>
      <c r="E1694" s="1" t="s">
        <v>6315</v>
      </c>
      <c r="F1694" s="1"/>
      <c r="G1694" s="1">
        <v>110085</v>
      </c>
      <c r="H1694" s="1">
        <v>75</v>
      </c>
    </row>
    <row r="1695" spans="1:8" ht="21.75" customHeight="1">
      <c r="A1695" s="1" t="str">
        <f>"1208160037639152"</f>
        <v>1208160037639152</v>
      </c>
      <c r="B1695" s="1" t="s">
        <v>6316</v>
      </c>
      <c r="C1695" s="1" t="s">
        <v>6317</v>
      </c>
      <c r="D1695" s="1"/>
      <c r="E1695" s="1"/>
      <c r="F1695" s="1" t="s">
        <v>70</v>
      </c>
      <c r="G1695" s="1">
        <v>110087</v>
      </c>
      <c r="H1695" s="1">
        <v>13.5</v>
      </c>
    </row>
    <row r="1696" spans="1:8" ht="21.75" customHeight="1">
      <c r="A1696" s="1" t="str">
        <f>"1202990000084998"</f>
        <v>1202990000084998</v>
      </c>
      <c r="B1696" s="1" t="s">
        <v>6318</v>
      </c>
      <c r="C1696" s="1" t="s">
        <v>6319</v>
      </c>
      <c r="D1696" s="1" t="s">
        <v>6320</v>
      </c>
      <c r="E1696" s="1" t="s">
        <v>6321</v>
      </c>
      <c r="F1696" s="1" t="s">
        <v>76</v>
      </c>
      <c r="G1696" s="1">
        <v>110088</v>
      </c>
      <c r="H1696" s="1">
        <v>7.5</v>
      </c>
    </row>
    <row r="1697" spans="1:8" ht="21.75" customHeight="1">
      <c r="A1697" s="1" t="str">
        <f>"IN30020610638110"</f>
        <v>IN30020610638110</v>
      </c>
      <c r="B1697" s="1" t="s">
        <v>6322</v>
      </c>
      <c r="C1697" s="1" t="s">
        <v>6323</v>
      </c>
      <c r="D1697" s="1" t="s">
        <v>6321</v>
      </c>
      <c r="E1697" s="1" t="s">
        <v>76</v>
      </c>
      <c r="F1697" s="1"/>
      <c r="G1697" s="1">
        <v>110088</v>
      </c>
      <c r="H1697" s="1">
        <v>75</v>
      </c>
    </row>
    <row r="1698" spans="1:8" ht="21.75" customHeight="1">
      <c r="A1698" s="1" t="str">
        <f>"IN30236510127079"</f>
        <v>IN30236510127079</v>
      </c>
      <c r="B1698" s="1" t="s">
        <v>6324</v>
      </c>
      <c r="C1698" s="1" t="s">
        <v>6325</v>
      </c>
      <c r="D1698" s="1" t="s">
        <v>6321</v>
      </c>
      <c r="E1698" s="1" t="s">
        <v>76</v>
      </c>
      <c r="F1698" s="1"/>
      <c r="G1698" s="1">
        <v>110088</v>
      </c>
      <c r="H1698" s="1">
        <v>87.75</v>
      </c>
    </row>
    <row r="1699" spans="1:8" ht="21.75" customHeight="1">
      <c r="A1699" s="1" t="str">
        <f>"IN30167010072248"</f>
        <v>IN30167010072248</v>
      </c>
      <c r="B1699" s="1" t="s">
        <v>6326</v>
      </c>
      <c r="C1699" s="1" t="s">
        <v>6327</v>
      </c>
      <c r="D1699" s="1" t="s">
        <v>6328</v>
      </c>
      <c r="E1699" s="1" t="s">
        <v>6329</v>
      </c>
      <c r="F1699" s="1"/>
      <c r="G1699" s="1">
        <v>110091</v>
      </c>
      <c r="H1699" s="1">
        <v>7.5</v>
      </c>
    </row>
    <row r="1700" spans="1:8" ht="21.75" customHeight="1">
      <c r="A1700" s="1" t="str">
        <f>"1204470000179800"</f>
        <v>1204470000179800</v>
      </c>
      <c r="B1700" s="1" t="s">
        <v>6330</v>
      </c>
      <c r="C1700" s="1" t="s">
        <v>6331</v>
      </c>
      <c r="D1700" s="1" t="s">
        <v>6332</v>
      </c>
      <c r="E1700" s="1" t="s">
        <v>6333</v>
      </c>
      <c r="F1700" s="1" t="s">
        <v>76</v>
      </c>
      <c r="G1700" s="1">
        <v>110092</v>
      </c>
      <c r="H1700" s="1">
        <v>19.5</v>
      </c>
    </row>
    <row r="1701" spans="1:8" ht="21.75" customHeight="1">
      <c r="A1701" s="1" t="str">
        <f>"IN30133017678922"</f>
        <v>IN30133017678922</v>
      </c>
      <c r="B1701" s="1" t="s">
        <v>6334</v>
      </c>
      <c r="C1701" s="1" t="s">
        <v>6335</v>
      </c>
      <c r="D1701" s="1" t="s">
        <v>6336</v>
      </c>
      <c r="E1701" s="1" t="s">
        <v>6337</v>
      </c>
      <c r="F1701" s="1"/>
      <c r="G1701" s="1">
        <v>111111</v>
      </c>
      <c r="H1701" s="1">
        <v>0.75</v>
      </c>
    </row>
    <row r="1702" spans="1:8" ht="21.75" customHeight="1">
      <c r="A1702" s="1" t="str">
        <f>"IN30051312788439"</f>
        <v>IN30051312788439</v>
      </c>
      <c r="B1702" s="1" t="s">
        <v>6338</v>
      </c>
      <c r="C1702" s="1" t="s">
        <v>6339</v>
      </c>
      <c r="D1702" s="1" t="s">
        <v>6340</v>
      </c>
      <c r="E1702" s="1" t="s">
        <v>6341</v>
      </c>
      <c r="F1702" s="1"/>
      <c r="G1702" s="1">
        <v>121002</v>
      </c>
      <c r="H1702" s="1">
        <v>487.5</v>
      </c>
    </row>
    <row r="1703" spans="1:8" ht="21.75" customHeight="1">
      <c r="A1703" s="1" t="str">
        <f>"IN30078110078319"</f>
        <v>IN30078110078319</v>
      </c>
      <c r="B1703" s="1" t="s">
        <v>6342</v>
      </c>
      <c r="C1703" s="1" t="s">
        <v>6343</v>
      </c>
      <c r="D1703" s="1" t="s">
        <v>6344</v>
      </c>
      <c r="E1703" s="1" t="s">
        <v>6341</v>
      </c>
      <c r="F1703" s="1"/>
      <c r="G1703" s="1">
        <v>121008</v>
      </c>
      <c r="H1703" s="1">
        <v>375</v>
      </c>
    </row>
    <row r="1704" spans="1:8" ht="21.75" customHeight="1">
      <c r="A1704" s="1" t="str">
        <f>"IN30135620289669"</f>
        <v>IN30135620289669</v>
      </c>
      <c r="B1704" s="1" t="s">
        <v>6345</v>
      </c>
      <c r="C1704" s="1" t="s">
        <v>6346</v>
      </c>
      <c r="D1704" s="1" t="s">
        <v>6347</v>
      </c>
      <c r="E1704" s="1" t="s">
        <v>6348</v>
      </c>
      <c r="F1704" s="1"/>
      <c r="G1704" s="1">
        <v>122001</v>
      </c>
      <c r="H1704" s="1">
        <v>262.5</v>
      </c>
    </row>
    <row r="1705" spans="1:8" ht="21.75" customHeight="1">
      <c r="A1705" s="1" t="str">
        <f>"1208160029028563"</f>
        <v>1208160029028563</v>
      </c>
      <c r="B1705" s="1" t="s">
        <v>6349</v>
      </c>
      <c r="C1705" s="1" t="s">
        <v>6350</v>
      </c>
      <c r="D1705" s="1" t="s">
        <v>6351</v>
      </c>
      <c r="E1705" s="1"/>
      <c r="F1705" s="1" t="s">
        <v>75</v>
      </c>
      <c r="G1705" s="1">
        <v>122001</v>
      </c>
      <c r="H1705" s="1">
        <v>10.5</v>
      </c>
    </row>
    <row r="1706" spans="1:8" ht="21.75" customHeight="1">
      <c r="A1706" s="1" t="str">
        <f>"IN30051314494540"</f>
        <v>IN30051314494540</v>
      </c>
      <c r="B1706" s="1" t="s">
        <v>6352</v>
      </c>
      <c r="C1706" s="1" t="s">
        <v>6353</v>
      </c>
      <c r="D1706" s="1" t="s">
        <v>6354</v>
      </c>
      <c r="E1706" s="1" t="s">
        <v>6355</v>
      </c>
      <c r="F1706" s="1"/>
      <c r="G1706" s="1">
        <v>122003</v>
      </c>
      <c r="H1706" s="1">
        <v>97.5</v>
      </c>
    </row>
    <row r="1707" spans="1:8" ht="21.75" customHeight="1">
      <c r="A1707" s="1" t="str">
        <f>"1208160034802007"</f>
        <v>1208160034802007</v>
      </c>
      <c r="B1707" s="1" t="s">
        <v>6356</v>
      </c>
      <c r="C1707" s="1" t="s">
        <v>6357</v>
      </c>
      <c r="D1707" s="1" t="s">
        <v>6358</v>
      </c>
      <c r="E1707" s="1"/>
      <c r="F1707" s="1" t="s">
        <v>75</v>
      </c>
      <c r="G1707" s="1">
        <v>122009</v>
      </c>
      <c r="H1707" s="1">
        <v>135</v>
      </c>
    </row>
    <row r="1708" spans="1:8" ht="21.75" customHeight="1">
      <c r="A1708" s="1" t="str">
        <f>"1208160004322348"</f>
        <v>1208160004322348</v>
      </c>
      <c r="B1708" s="1" t="s">
        <v>6359</v>
      </c>
      <c r="C1708" s="1" t="s">
        <v>410</v>
      </c>
      <c r="D1708" s="1" t="s">
        <v>6360</v>
      </c>
      <c r="E1708" s="1"/>
      <c r="F1708" s="1" t="s">
        <v>6361</v>
      </c>
      <c r="G1708" s="1">
        <v>123302</v>
      </c>
      <c r="H1708" s="1">
        <v>3.75</v>
      </c>
    </row>
    <row r="1709" spans="1:8" ht="21.75" customHeight="1">
      <c r="A1709" s="1" t="str">
        <f>"IN30155721171206"</f>
        <v>IN30155721171206</v>
      </c>
      <c r="B1709" s="1" t="s">
        <v>6362</v>
      </c>
      <c r="C1709" s="1" t="s">
        <v>6363</v>
      </c>
      <c r="D1709" s="1"/>
      <c r="E1709" s="1" t="s">
        <v>1377</v>
      </c>
      <c r="F1709" s="1"/>
      <c r="G1709" s="1">
        <v>124001</v>
      </c>
      <c r="H1709" s="1">
        <v>375</v>
      </c>
    </row>
    <row r="1710" spans="1:8" ht="21.75" customHeight="1">
      <c r="A1710" s="1" t="str">
        <f>"1201910101499370"</f>
        <v>1201910101499370</v>
      </c>
      <c r="B1710" s="1" t="s">
        <v>6112</v>
      </c>
      <c r="C1710" s="1" t="s">
        <v>6364</v>
      </c>
      <c r="D1710" s="1" t="s">
        <v>6365</v>
      </c>
      <c r="E1710" s="1" t="s">
        <v>1390</v>
      </c>
      <c r="F1710" s="1" t="s">
        <v>6366</v>
      </c>
      <c r="G1710" s="1">
        <v>124001</v>
      </c>
      <c r="H1710" s="1">
        <v>30</v>
      </c>
    </row>
    <row r="1711" spans="1:8" ht="21.75" customHeight="1">
      <c r="A1711" s="1" t="str">
        <f>"IN30094010070933"</f>
        <v>IN30094010070933</v>
      </c>
      <c r="B1711" s="1" t="s">
        <v>6367</v>
      </c>
      <c r="C1711" s="1" t="s">
        <v>6368</v>
      </c>
      <c r="D1711" s="1" t="s">
        <v>6369</v>
      </c>
      <c r="E1711" s="1" t="s">
        <v>6370</v>
      </c>
      <c r="F1711" s="1"/>
      <c r="G1711" s="1">
        <v>124001</v>
      </c>
      <c r="H1711" s="1">
        <v>7.5</v>
      </c>
    </row>
    <row r="1712" spans="1:8" ht="21.75" customHeight="1">
      <c r="A1712" s="1" t="str">
        <f>"1201060001054350"</f>
        <v>1201060001054350</v>
      </c>
      <c r="B1712" s="1" t="s">
        <v>6371</v>
      </c>
      <c r="C1712" s="1" t="s">
        <v>6372</v>
      </c>
      <c r="D1712" s="1" t="s">
        <v>6373</v>
      </c>
      <c r="E1712" s="1"/>
      <c r="F1712" s="1" t="s">
        <v>1377</v>
      </c>
      <c r="G1712" s="1">
        <v>124001</v>
      </c>
      <c r="H1712" s="1">
        <v>75</v>
      </c>
    </row>
    <row r="1713" spans="1:8" ht="21.75" customHeight="1">
      <c r="A1713" s="1" t="str">
        <f>"1201060001845193"</f>
        <v>1201060001845193</v>
      </c>
      <c r="B1713" s="1" t="s">
        <v>6374</v>
      </c>
      <c r="C1713" s="1" t="s">
        <v>6375</v>
      </c>
      <c r="D1713" s="1" t="s">
        <v>6376</v>
      </c>
      <c r="E1713" s="1" t="s">
        <v>6377</v>
      </c>
      <c r="F1713" s="1" t="s">
        <v>6378</v>
      </c>
      <c r="G1713" s="1">
        <v>125104</v>
      </c>
      <c r="H1713" s="1">
        <v>37.5</v>
      </c>
    </row>
    <row r="1714" spans="1:8" ht="21.75" customHeight="1">
      <c r="A1714" s="1" t="str">
        <f>"1208160038358921"</f>
        <v>1208160038358921</v>
      </c>
      <c r="B1714" s="1" t="s">
        <v>6379</v>
      </c>
      <c r="C1714" s="1" t="s">
        <v>6380</v>
      </c>
      <c r="D1714" s="1" t="s">
        <v>6381</v>
      </c>
      <c r="E1714" s="1"/>
      <c r="F1714" s="1" t="s">
        <v>1421</v>
      </c>
      <c r="G1714" s="1">
        <v>127021</v>
      </c>
      <c r="H1714" s="1">
        <v>30</v>
      </c>
    </row>
    <row r="1715" spans="1:8" ht="21.75" customHeight="1">
      <c r="A1715" s="1" t="str">
        <f>"1203320035969842"</f>
        <v>1203320035969842</v>
      </c>
      <c r="B1715" s="1" t="s">
        <v>6382</v>
      </c>
      <c r="C1715" s="1" t="s">
        <v>6383</v>
      </c>
      <c r="D1715" s="1" t="s">
        <v>6384</v>
      </c>
      <c r="E1715" s="1"/>
      <c r="F1715" s="1" t="s">
        <v>1421</v>
      </c>
      <c r="G1715" s="1">
        <v>127026</v>
      </c>
      <c r="H1715" s="1">
        <v>0.75</v>
      </c>
    </row>
    <row r="1716" spans="1:8" ht="21.75" customHeight="1">
      <c r="A1716" s="1" t="str">
        <f>"1201090001403306"</f>
        <v>1201090001403306</v>
      </c>
      <c r="B1716" s="1" t="s">
        <v>6385</v>
      </c>
      <c r="C1716" s="1" t="s">
        <v>6386</v>
      </c>
      <c r="D1716" s="1" t="s">
        <v>6387</v>
      </c>
      <c r="E1716" s="1" t="s">
        <v>6388</v>
      </c>
      <c r="F1716" s="1" t="s">
        <v>6389</v>
      </c>
      <c r="G1716" s="1">
        <v>128141</v>
      </c>
      <c r="H1716" s="1">
        <v>825</v>
      </c>
    </row>
    <row r="1717" spans="1:8" ht="21.75" customHeight="1">
      <c r="A1717" s="1" t="str">
        <f>"1204470000334581"</f>
        <v>1204470000334581</v>
      </c>
      <c r="B1717" s="1" t="s">
        <v>6390</v>
      </c>
      <c r="C1717" s="1" t="s">
        <v>6391</v>
      </c>
      <c r="D1717" s="1" t="s">
        <v>6392</v>
      </c>
      <c r="E1717" s="1" t="s">
        <v>6393</v>
      </c>
      <c r="F1717" s="1" t="s">
        <v>1452</v>
      </c>
      <c r="G1717" s="1">
        <v>131001</v>
      </c>
      <c r="H1717" s="1">
        <v>0.75</v>
      </c>
    </row>
    <row r="1718" spans="1:8" ht="21.75" customHeight="1">
      <c r="A1718" s="1" t="str">
        <f>"IN30220110746960"</f>
        <v>IN30220110746960</v>
      </c>
      <c r="B1718" s="1" t="s">
        <v>6394</v>
      </c>
      <c r="C1718" s="1" t="s">
        <v>6395</v>
      </c>
      <c r="D1718" s="1" t="s">
        <v>6396</v>
      </c>
      <c r="E1718" s="1" t="s">
        <v>1448</v>
      </c>
      <c r="F1718" s="1"/>
      <c r="G1718" s="1">
        <v>132001</v>
      </c>
      <c r="H1718" s="1">
        <v>37.5</v>
      </c>
    </row>
    <row r="1719" spans="1:8" ht="21.75" customHeight="1">
      <c r="A1719" s="1" t="str">
        <f>"1203350001548420"</f>
        <v>1203350001548420</v>
      </c>
      <c r="B1719" s="1" t="s">
        <v>6397</v>
      </c>
      <c r="C1719" s="1" t="s">
        <v>6398</v>
      </c>
      <c r="D1719" s="1" t="s">
        <v>6399</v>
      </c>
      <c r="E1719" s="1" t="s">
        <v>6400</v>
      </c>
      <c r="F1719" s="1" t="s">
        <v>1466</v>
      </c>
      <c r="G1719" s="1">
        <v>132101</v>
      </c>
      <c r="H1719" s="1">
        <v>262.5</v>
      </c>
    </row>
    <row r="1720" spans="1:8" ht="21.75" customHeight="1">
      <c r="A1720" s="1" t="str">
        <f>"IN30165310349127"</f>
        <v>IN30165310349127</v>
      </c>
      <c r="B1720" s="1" t="s">
        <v>6043</v>
      </c>
      <c r="C1720" s="1" t="s">
        <v>6401</v>
      </c>
      <c r="D1720" s="1" t="s">
        <v>6402</v>
      </c>
      <c r="E1720" s="1" t="s">
        <v>6403</v>
      </c>
      <c r="F1720" s="1"/>
      <c r="G1720" s="1">
        <v>132116</v>
      </c>
      <c r="H1720" s="1">
        <v>37.5</v>
      </c>
    </row>
    <row r="1721" spans="1:8" ht="21.75" customHeight="1">
      <c r="A1721" s="1" t="str">
        <f>"1201090004506319"</f>
        <v>1201090004506319</v>
      </c>
      <c r="B1721" s="1" t="s">
        <v>6299</v>
      </c>
      <c r="C1721" s="1" t="s">
        <v>6404</v>
      </c>
      <c r="D1721" s="1" t="s">
        <v>6405</v>
      </c>
      <c r="E1721" s="1" t="s">
        <v>6406</v>
      </c>
      <c r="F1721" s="1" t="s">
        <v>6407</v>
      </c>
      <c r="G1721" s="1">
        <v>133001</v>
      </c>
      <c r="H1721" s="1">
        <v>1.5</v>
      </c>
    </row>
    <row r="1722" spans="1:8" ht="21.75" customHeight="1">
      <c r="A1722" s="1" t="str">
        <f>"IN30021415556991"</f>
        <v>IN30021415556991</v>
      </c>
      <c r="B1722" s="1" t="s">
        <v>6408</v>
      </c>
      <c r="C1722" s="1" t="s">
        <v>6409</v>
      </c>
      <c r="D1722" s="1" t="s">
        <v>6410</v>
      </c>
      <c r="E1722" s="1" t="s">
        <v>6411</v>
      </c>
      <c r="F1722" s="1"/>
      <c r="G1722" s="1">
        <v>133001</v>
      </c>
      <c r="H1722" s="1">
        <v>73.5</v>
      </c>
    </row>
    <row r="1723" spans="1:8" ht="21.75" customHeight="1">
      <c r="A1723" s="1" t="str">
        <f>"1201060001990881"</f>
        <v>1201060001990881</v>
      </c>
      <c r="B1723" s="1" t="s">
        <v>6412</v>
      </c>
      <c r="C1723" s="1" t="s">
        <v>6413</v>
      </c>
      <c r="D1723" s="1" t="s">
        <v>6414</v>
      </c>
      <c r="E1723" s="1" t="s">
        <v>6415</v>
      </c>
      <c r="F1723" s="1" t="s">
        <v>6415</v>
      </c>
      <c r="G1723" s="1">
        <v>134003</v>
      </c>
      <c r="H1723" s="1">
        <v>18.75</v>
      </c>
    </row>
    <row r="1724" spans="1:8" ht="21.75" customHeight="1">
      <c r="A1724" s="1" t="str">
        <f>"1203320000731154"</f>
        <v>1203320000731154</v>
      </c>
      <c r="B1724" s="1" t="s">
        <v>6416</v>
      </c>
      <c r="C1724" s="1" t="s">
        <v>6417</v>
      </c>
      <c r="D1724" s="1"/>
      <c r="E1724" s="1" t="s">
        <v>6418</v>
      </c>
      <c r="F1724" s="1" t="s">
        <v>110</v>
      </c>
      <c r="G1724" s="1">
        <v>134113</v>
      </c>
      <c r="H1724" s="1">
        <v>37.5</v>
      </c>
    </row>
    <row r="1725" spans="1:8" ht="21.75" customHeight="1">
      <c r="A1725" s="1" t="str">
        <f>"IN30039417834104"</f>
        <v>IN30039417834104</v>
      </c>
      <c r="B1725" s="1" t="s">
        <v>6419</v>
      </c>
      <c r="C1725" s="1" t="s">
        <v>6420</v>
      </c>
      <c r="D1725" s="1" t="s">
        <v>6421</v>
      </c>
      <c r="E1725" s="1" t="s">
        <v>6422</v>
      </c>
      <c r="F1725" s="1"/>
      <c r="G1725" s="1">
        <v>135003</v>
      </c>
      <c r="H1725" s="1">
        <v>11.25</v>
      </c>
    </row>
    <row r="1726" spans="1:8" ht="21.75" customHeight="1">
      <c r="A1726" s="1" t="str">
        <f>"IN30165310098998"</f>
        <v>IN30165310098998</v>
      </c>
      <c r="B1726" s="1" t="s">
        <v>6424</v>
      </c>
      <c r="C1726" s="1" t="s">
        <v>6425</v>
      </c>
      <c r="D1726" s="1" t="s">
        <v>6426</v>
      </c>
      <c r="E1726" s="1" t="s">
        <v>6423</v>
      </c>
      <c r="F1726" s="1"/>
      <c r="G1726" s="1">
        <v>136027</v>
      </c>
      <c r="H1726" s="1">
        <v>1.5</v>
      </c>
    </row>
    <row r="1727" spans="1:8" ht="21.75" customHeight="1">
      <c r="A1727" s="1" t="str">
        <f>"IN30184610181227"</f>
        <v>IN30184610181227</v>
      </c>
      <c r="B1727" s="1" t="s">
        <v>6427</v>
      </c>
      <c r="C1727" s="1" t="s">
        <v>6428</v>
      </c>
      <c r="D1727" s="1" t="s">
        <v>6429</v>
      </c>
      <c r="E1727" s="1" t="s">
        <v>6430</v>
      </c>
      <c r="F1727" s="1"/>
      <c r="G1727" s="1">
        <v>141003</v>
      </c>
      <c r="H1727" s="1">
        <v>150</v>
      </c>
    </row>
    <row r="1728" spans="1:8" ht="21.75" customHeight="1">
      <c r="A1728" s="1" t="str">
        <f>"1201330000536096"</f>
        <v>1201330000536096</v>
      </c>
      <c r="B1728" s="1" t="s">
        <v>6431</v>
      </c>
      <c r="C1728" s="1" t="s">
        <v>6432</v>
      </c>
      <c r="D1728" s="1" t="s">
        <v>6433</v>
      </c>
      <c r="E1728" s="1" t="s">
        <v>6434</v>
      </c>
      <c r="F1728" s="1" t="s">
        <v>1376</v>
      </c>
      <c r="G1728" s="1">
        <v>141106</v>
      </c>
      <c r="H1728" s="1">
        <v>112.5</v>
      </c>
    </row>
    <row r="1729" spans="1:8" ht="21.75" customHeight="1">
      <c r="A1729" s="1" t="str">
        <f>"1301440001155488"</f>
        <v>1301440001155488</v>
      </c>
      <c r="B1729" s="1" t="s">
        <v>6435</v>
      </c>
      <c r="C1729" s="1" t="s">
        <v>6436</v>
      </c>
      <c r="D1729" s="1" t="s">
        <v>6437</v>
      </c>
      <c r="E1729" s="1" t="s">
        <v>6438</v>
      </c>
      <c r="F1729" s="1" t="s">
        <v>6439</v>
      </c>
      <c r="G1729" s="1">
        <v>141113</v>
      </c>
      <c r="H1729" s="1">
        <v>7.5</v>
      </c>
    </row>
    <row r="1730" spans="1:8" ht="21.75" customHeight="1">
      <c r="A1730" s="1" t="str">
        <f>"IN30325310004832"</f>
        <v>IN30325310004832</v>
      </c>
      <c r="B1730" s="1" t="s">
        <v>6440</v>
      </c>
      <c r="C1730" s="1" t="s">
        <v>6441</v>
      </c>
      <c r="D1730" s="1" t="s">
        <v>6442</v>
      </c>
      <c r="E1730" s="1" t="s">
        <v>115</v>
      </c>
      <c r="F1730" s="1"/>
      <c r="G1730" s="1">
        <v>143001</v>
      </c>
      <c r="H1730" s="1">
        <v>150</v>
      </c>
    </row>
    <row r="1731" spans="1:8" ht="21.75" customHeight="1">
      <c r="A1731" s="1" t="str">
        <f>"1202990000375561"</f>
        <v>1202990000375561</v>
      </c>
      <c r="B1731" s="1" t="s">
        <v>6443</v>
      </c>
      <c r="C1731" s="1" t="s">
        <v>6444</v>
      </c>
      <c r="D1731" s="1" t="s">
        <v>6445</v>
      </c>
      <c r="E1731" s="1"/>
      <c r="F1731" s="1" t="s">
        <v>6446</v>
      </c>
      <c r="G1731" s="1">
        <v>143001</v>
      </c>
      <c r="H1731" s="1">
        <v>373.5</v>
      </c>
    </row>
    <row r="1732" spans="1:8" ht="21.75" customHeight="1">
      <c r="A1732" s="1" t="str">
        <f>"IN30325310010726"</f>
        <v>IN30325310010726</v>
      </c>
      <c r="B1732" s="1" t="s">
        <v>6447</v>
      </c>
      <c r="C1732" s="1">
        <v>981</v>
      </c>
      <c r="D1732" s="1" t="s">
        <v>6448</v>
      </c>
      <c r="E1732" s="1" t="s">
        <v>6449</v>
      </c>
      <c r="F1732" s="1"/>
      <c r="G1732" s="1">
        <v>143001</v>
      </c>
      <c r="H1732" s="1">
        <v>7.5</v>
      </c>
    </row>
    <row r="1733" spans="1:8" ht="21.75" customHeight="1">
      <c r="A1733" s="1" t="str">
        <f>"IN30226912392174"</f>
        <v>IN30226912392174</v>
      </c>
      <c r="B1733" s="1" t="s">
        <v>6451</v>
      </c>
      <c r="C1733" s="1" t="s">
        <v>6452</v>
      </c>
      <c r="D1733" s="1" t="s">
        <v>6453</v>
      </c>
      <c r="E1733" s="1" t="s">
        <v>6454</v>
      </c>
      <c r="F1733" s="1"/>
      <c r="G1733" s="1">
        <v>143514</v>
      </c>
      <c r="H1733" s="1">
        <v>31.5</v>
      </c>
    </row>
    <row r="1734" spans="1:8" ht="21.75" customHeight="1">
      <c r="A1734" s="1" t="str">
        <f>"1204470006380779"</f>
        <v>1204470006380779</v>
      </c>
      <c r="B1734" s="1" t="s">
        <v>6455</v>
      </c>
      <c r="C1734" s="1" t="s">
        <v>6456</v>
      </c>
      <c r="D1734" s="1"/>
      <c r="E1734" s="1"/>
      <c r="F1734" s="1" t="s">
        <v>6450</v>
      </c>
      <c r="G1734" s="1">
        <v>143531</v>
      </c>
      <c r="H1734" s="1">
        <v>702</v>
      </c>
    </row>
    <row r="1735" spans="1:8" ht="21.75" customHeight="1">
      <c r="A1735" s="1" t="str">
        <f>"IN30160410428832"</f>
        <v>IN30160410428832</v>
      </c>
      <c r="B1735" s="1" t="s">
        <v>6457</v>
      </c>
      <c r="C1735" s="1" t="s">
        <v>6458</v>
      </c>
      <c r="D1735" s="1" t="s">
        <v>6459</v>
      </c>
      <c r="E1735" s="1" t="s">
        <v>6460</v>
      </c>
      <c r="F1735" s="1"/>
      <c r="G1735" s="1">
        <v>145023</v>
      </c>
      <c r="H1735" s="1">
        <v>375</v>
      </c>
    </row>
    <row r="1736" spans="1:8" ht="21.75" customHeight="1">
      <c r="A1736" s="1" t="str">
        <f>"1301440001300083"</f>
        <v>1301440001300083</v>
      </c>
      <c r="B1736" s="1" t="s">
        <v>6461</v>
      </c>
      <c r="C1736" s="1" t="s">
        <v>6462</v>
      </c>
      <c r="D1736" s="1" t="s">
        <v>6463</v>
      </c>
      <c r="E1736" s="1" t="s">
        <v>6464</v>
      </c>
      <c r="F1736" s="1" t="s">
        <v>6465</v>
      </c>
      <c r="G1736" s="1">
        <v>146001</v>
      </c>
      <c r="H1736" s="1">
        <v>150</v>
      </c>
    </row>
    <row r="1737" spans="1:8" ht="21.75" customHeight="1">
      <c r="A1737" s="1" t="str">
        <f>"1204470002672152"</f>
        <v>1204470002672152</v>
      </c>
      <c r="B1737" s="1" t="s">
        <v>6466</v>
      </c>
      <c r="C1737" s="1" t="s">
        <v>6467</v>
      </c>
      <c r="D1737" s="1" t="s">
        <v>6468</v>
      </c>
      <c r="E1737" s="1" t="s">
        <v>6469</v>
      </c>
      <c r="F1737" s="1" t="s">
        <v>1511</v>
      </c>
      <c r="G1737" s="1">
        <v>146001</v>
      </c>
      <c r="H1737" s="1">
        <v>18.75</v>
      </c>
    </row>
    <row r="1738" spans="1:8" ht="21.75" customHeight="1">
      <c r="A1738" s="1" t="str">
        <f>"IN30177416153906"</f>
        <v>IN30177416153906</v>
      </c>
      <c r="B1738" s="1" t="s">
        <v>6470</v>
      </c>
      <c r="C1738" s="1" t="s">
        <v>6471</v>
      </c>
      <c r="D1738" s="1" t="s">
        <v>6472</v>
      </c>
      <c r="E1738" s="1" t="s">
        <v>1481</v>
      </c>
      <c r="F1738" s="1"/>
      <c r="G1738" s="1">
        <v>147004</v>
      </c>
      <c r="H1738" s="1">
        <v>75</v>
      </c>
    </row>
    <row r="1739" spans="1:8" ht="21.75" customHeight="1">
      <c r="A1739" s="1" t="str">
        <f>"IN30236510835859"</f>
        <v>IN30236510835859</v>
      </c>
      <c r="B1739" s="1" t="s">
        <v>6473</v>
      </c>
      <c r="C1739" s="1" t="s">
        <v>6474</v>
      </c>
      <c r="D1739" s="1" t="s">
        <v>6475</v>
      </c>
      <c r="E1739" s="1" t="s">
        <v>6476</v>
      </c>
      <c r="F1739" s="1"/>
      <c r="G1739" s="1">
        <v>152107</v>
      </c>
      <c r="H1739" s="1">
        <v>18.75</v>
      </c>
    </row>
    <row r="1740" spans="1:8" ht="21.75" customHeight="1">
      <c r="A1740" s="1" t="str">
        <f>"1204470010229292"</f>
        <v>1204470010229292</v>
      </c>
      <c r="B1740" s="1" t="s">
        <v>6477</v>
      </c>
      <c r="C1740" s="1" t="s">
        <v>6478</v>
      </c>
      <c r="D1740" s="1" t="s">
        <v>6479</v>
      </c>
      <c r="E1740" s="1" t="s">
        <v>1504</v>
      </c>
      <c r="F1740" s="1" t="s">
        <v>1543</v>
      </c>
      <c r="G1740" s="1">
        <v>152123</v>
      </c>
      <c r="H1740" s="1">
        <v>12.75</v>
      </c>
    </row>
    <row r="1741" spans="1:8" ht="21.75" customHeight="1">
      <c r="A1741" s="1" t="str">
        <f>"IN30086110035026"</f>
        <v>IN30086110035026</v>
      </c>
      <c r="B1741" s="1" t="s">
        <v>6480</v>
      </c>
      <c r="C1741" s="1" t="s">
        <v>6481</v>
      </c>
      <c r="D1741" s="1"/>
      <c r="E1741" s="1" t="s">
        <v>6482</v>
      </c>
      <c r="F1741" s="1"/>
      <c r="G1741" s="1">
        <v>160061</v>
      </c>
      <c r="H1741" s="1">
        <v>225</v>
      </c>
    </row>
    <row r="1742" spans="1:8" ht="21.75" customHeight="1">
      <c r="A1742" s="1" t="str">
        <f>"1204720009979391"</f>
        <v>1204720009979391</v>
      </c>
      <c r="B1742" s="1" t="s">
        <v>6483</v>
      </c>
      <c r="C1742" s="1" t="s">
        <v>6484</v>
      </c>
      <c r="D1742" s="1" t="s">
        <v>6485</v>
      </c>
      <c r="E1742" s="1" t="s">
        <v>6486</v>
      </c>
      <c r="F1742" s="1" t="s">
        <v>12</v>
      </c>
      <c r="G1742" s="1">
        <v>160064</v>
      </c>
      <c r="H1742" s="1">
        <v>74.25</v>
      </c>
    </row>
    <row r="1743" spans="1:8" ht="21.75" customHeight="1">
      <c r="A1743" s="1" t="str">
        <f>"IN30051313617152"</f>
        <v>IN30051313617152</v>
      </c>
      <c r="B1743" s="1" t="s">
        <v>6487</v>
      </c>
      <c r="C1743" s="1" t="s">
        <v>6488</v>
      </c>
      <c r="D1743" s="1" t="s">
        <v>6489</v>
      </c>
      <c r="E1743" s="1" t="s">
        <v>70</v>
      </c>
      <c r="F1743" s="1"/>
      <c r="G1743" s="1">
        <v>160092</v>
      </c>
      <c r="H1743" s="1">
        <v>465</v>
      </c>
    </row>
    <row r="1744" spans="1:8" ht="21.75" customHeight="1">
      <c r="A1744" s="1" t="str">
        <f>"1301440002674338"</f>
        <v>1301440002674338</v>
      </c>
      <c r="B1744" s="1" t="s">
        <v>6490</v>
      </c>
      <c r="C1744" s="1" t="s">
        <v>6491</v>
      </c>
      <c r="D1744" s="1" t="s">
        <v>6492</v>
      </c>
      <c r="E1744" s="1" t="s">
        <v>6493</v>
      </c>
      <c r="F1744" s="1" t="s">
        <v>6494</v>
      </c>
      <c r="G1744" s="1">
        <v>171303</v>
      </c>
      <c r="H1744" s="1">
        <v>7.5</v>
      </c>
    </row>
    <row r="1745" spans="1:8" ht="21.75" customHeight="1">
      <c r="A1745" s="1" t="str">
        <f>"IN30070811085715"</f>
        <v>IN30070811085715</v>
      </c>
      <c r="B1745" s="1" t="s">
        <v>6495</v>
      </c>
      <c r="C1745" s="1" t="s">
        <v>6496</v>
      </c>
      <c r="D1745" s="1" t="s">
        <v>6497</v>
      </c>
      <c r="E1745" s="1" t="s">
        <v>6498</v>
      </c>
      <c r="F1745" s="1"/>
      <c r="G1745" s="1">
        <v>172002</v>
      </c>
      <c r="H1745" s="1">
        <v>9</v>
      </c>
    </row>
    <row r="1746" spans="1:8" ht="21.75" customHeight="1">
      <c r="A1746" s="1" t="str">
        <f>"IN30236510842608"</f>
        <v>IN30236510842608</v>
      </c>
      <c r="B1746" s="1" t="s">
        <v>6499</v>
      </c>
      <c r="C1746" s="1" t="s">
        <v>6500</v>
      </c>
      <c r="D1746" s="1" t="s">
        <v>6501</v>
      </c>
      <c r="E1746" s="1" t="s">
        <v>6502</v>
      </c>
      <c r="F1746" s="1"/>
      <c r="G1746" s="1">
        <v>174305</v>
      </c>
      <c r="H1746" s="1">
        <v>75</v>
      </c>
    </row>
    <row r="1747" spans="1:8" ht="21.75" customHeight="1">
      <c r="A1747" s="1" t="str">
        <f>"1206620000013600"</f>
        <v>1206620000013600</v>
      </c>
      <c r="B1747" s="1" t="s">
        <v>6504</v>
      </c>
      <c r="C1747" s="1" t="s">
        <v>6505</v>
      </c>
      <c r="D1747" s="1" t="s">
        <v>6506</v>
      </c>
      <c r="E1747" s="1"/>
      <c r="F1747" s="1" t="s">
        <v>6503</v>
      </c>
      <c r="G1747" s="1">
        <v>175001</v>
      </c>
      <c r="H1747" s="1">
        <v>37.5</v>
      </c>
    </row>
    <row r="1748" spans="1:8" ht="21.75" customHeight="1">
      <c r="A1748" s="1" t="str">
        <f>"IN30177414071554"</f>
        <v>IN30177414071554</v>
      </c>
      <c r="B1748" s="1" t="s">
        <v>6507</v>
      </c>
      <c r="C1748" s="1" t="s">
        <v>6508</v>
      </c>
      <c r="D1748" s="1" t="s">
        <v>6509</v>
      </c>
      <c r="E1748" s="1" t="s">
        <v>1574</v>
      </c>
      <c r="F1748" s="1"/>
      <c r="G1748" s="1">
        <v>176040</v>
      </c>
      <c r="H1748" s="1">
        <v>112.5</v>
      </c>
    </row>
    <row r="1749" spans="1:8" ht="21.75" customHeight="1">
      <c r="A1749" s="1" t="str">
        <f>"IN30226913646525"</f>
        <v>IN30226913646525</v>
      </c>
      <c r="B1749" s="1" t="s">
        <v>1507</v>
      </c>
      <c r="C1749" s="1" t="s">
        <v>6511</v>
      </c>
      <c r="D1749" s="1" t="s">
        <v>6512</v>
      </c>
      <c r="E1749" s="1" t="s">
        <v>6513</v>
      </c>
      <c r="F1749" s="1"/>
      <c r="G1749" s="1">
        <v>180001</v>
      </c>
      <c r="H1749" s="1">
        <v>67.5</v>
      </c>
    </row>
    <row r="1750" spans="1:8" ht="21.75" customHeight="1">
      <c r="A1750" s="1" t="str">
        <f>"IN30011811172977"</f>
        <v>IN30011811172977</v>
      </c>
      <c r="B1750" s="1" t="s">
        <v>6514</v>
      </c>
      <c r="C1750" s="1" t="s">
        <v>6515</v>
      </c>
      <c r="D1750" s="1" t="s">
        <v>6516</v>
      </c>
      <c r="E1750" s="1" t="s">
        <v>6510</v>
      </c>
      <c r="F1750" s="1"/>
      <c r="G1750" s="1">
        <v>180004</v>
      </c>
      <c r="H1750" s="1">
        <v>18.75</v>
      </c>
    </row>
    <row r="1751" spans="1:8" ht="21.75" customHeight="1">
      <c r="A1751" s="1" t="str">
        <f>"IN30236510793367"</f>
        <v>IN30236510793367</v>
      </c>
      <c r="B1751" s="1" t="s">
        <v>1547</v>
      </c>
      <c r="C1751" s="1" t="s">
        <v>6517</v>
      </c>
      <c r="D1751" s="1" t="s">
        <v>6518</v>
      </c>
      <c r="E1751" s="1" t="s">
        <v>6519</v>
      </c>
      <c r="F1751" s="1"/>
      <c r="G1751" s="1">
        <v>180007</v>
      </c>
      <c r="H1751" s="1">
        <v>71.25</v>
      </c>
    </row>
    <row r="1752" spans="1:8" ht="21.75" customHeight="1">
      <c r="A1752" s="1" t="str">
        <f>"1203350001607999"</f>
        <v>1203350001607999</v>
      </c>
      <c r="B1752" s="1" t="s">
        <v>6520</v>
      </c>
      <c r="C1752" s="1" t="s">
        <v>6521</v>
      </c>
      <c r="D1752" s="1" t="s">
        <v>6510</v>
      </c>
      <c r="E1752" s="1" t="s">
        <v>6510</v>
      </c>
      <c r="F1752" s="1" t="s">
        <v>6510</v>
      </c>
      <c r="G1752" s="1">
        <v>181122</v>
      </c>
      <c r="H1752" s="1">
        <v>30</v>
      </c>
    </row>
    <row r="1753" spans="1:8" ht="21.75" customHeight="1">
      <c r="A1753" s="1" t="str">
        <f>"1208160075892981"</f>
        <v>1208160075892981</v>
      </c>
      <c r="B1753" s="1" t="s">
        <v>6522</v>
      </c>
      <c r="C1753" s="1" t="s">
        <v>6523</v>
      </c>
      <c r="D1753" s="1"/>
      <c r="E1753" s="1"/>
      <c r="F1753" s="1" t="s">
        <v>6510</v>
      </c>
      <c r="G1753" s="1">
        <v>181203</v>
      </c>
      <c r="H1753" s="1">
        <v>37.5</v>
      </c>
    </row>
    <row r="1754" spans="1:8" ht="21.75" customHeight="1">
      <c r="A1754" s="1" t="str">
        <f>"1201910101746827"</f>
        <v>1201910101746827</v>
      </c>
      <c r="B1754" s="1" t="s">
        <v>6525</v>
      </c>
      <c r="C1754" s="1" t="s">
        <v>6526</v>
      </c>
      <c r="D1754" s="1" t="s">
        <v>6527</v>
      </c>
      <c r="E1754" s="1" t="s">
        <v>6528</v>
      </c>
      <c r="F1754" s="1" t="s">
        <v>6529</v>
      </c>
      <c r="G1754" s="1">
        <v>190005</v>
      </c>
      <c r="H1754" s="1">
        <v>72</v>
      </c>
    </row>
    <row r="1755" spans="1:8" ht="21.75" customHeight="1">
      <c r="A1755" s="1" t="str">
        <f>"1202060000824656"</f>
        <v>1202060000824656</v>
      </c>
      <c r="B1755" s="1" t="s">
        <v>6530</v>
      </c>
      <c r="C1755" s="1" t="s">
        <v>6531</v>
      </c>
      <c r="D1755" s="1" t="s">
        <v>6532</v>
      </c>
      <c r="E1755" s="1"/>
      <c r="F1755" s="1" t="s">
        <v>6524</v>
      </c>
      <c r="G1755" s="1">
        <v>190015</v>
      </c>
      <c r="H1755" s="1">
        <v>3</v>
      </c>
    </row>
    <row r="1756" spans="1:8" ht="21.75" customHeight="1">
      <c r="A1756" s="1" t="str">
        <f>"1203350001565345"</f>
        <v>1203350001565345</v>
      </c>
      <c r="B1756" s="1" t="s">
        <v>6534</v>
      </c>
      <c r="C1756" s="1" t="s">
        <v>6535</v>
      </c>
      <c r="D1756" s="1" t="s">
        <v>6533</v>
      </c>
      <c r="E1756" s="1" t="s">
        <v>410</v>
      </c>
      <c r="F1756" s="1" t="s">
        <v>6533</v>
      </c>
      <c r="G1756" s="1">
        <v>193101</v>
      </c>
      <c r="H1756" s="1">
        <v>11.25</v>
      </c>
    </row>
    <row r="1757" spans="1:8" ht="21.75" customHeight="1">
      <c r="A1757" s="1" t="str">
        <f>"IN30147720016834"</f>
        <v>IN30147720016834</v>
      </c>
      <c r="B1757" s="1" t="s">
        <v>6536</v>
      </c>
      <c r="C1757" s="1" t="s">
        <v>6537</v>
      </c>
      <c r="D1757" s="1"/>
      <c r="E1757" s="1" t="s">
        <v>124</v>
      </c>
      <c r="F1757" s="1"/>
      <c r="G1757" s="1">
        <v>201001</v>
      </c>
      <c r="H1757" s="1">
        <v>37.5</v>
      </c>
    </row>
    <row r="1758" spans="1:8" ht="21.75" customHeight="1">
      <c r="A1758" s="1" t="str">
        <f>"1201910100236669"</f>
        <v>1201910100236669</v>
      </c>
      <c r="B1758" s="1" t="s">
        <v>6538</v>
      </c>
      <c r="C1758" s="1" t="s">
        <v>6539</v>
      </c>
      <c r="D1758" s="1" t="s">
        <v>6540</v>
      </c>
      <c r="E1758" s="1"/>
      <c r="F1758" s="1" t="s">
        <v>124</v>
      </c>
      <c r="G1758" s="1">
        <v>201001</v>
      </c>
      <c r="H1758" s="1">
        <v>540</v>
      </c>
    </row>
    <row r="1759" spans="1:8" ht="21.75" customHeight="1">
      <c r="A1759" s="1" t="str">
        <f>"1201910100619830"</f>
        <v>1201910100619830</v>
      </c>
      <c r="B1759" s="1" t="s">
        <v>6541</v>
      </c>
      <c r="C1759" s="1" t="s">
        <v>6542</v>
      </c>
      <c r="D1759" s="1" t="s">
        <v>6543</v>
      </c>
      <c r="E1759" s="1" t="s">
        <v>6544</v>
      </c>
      <c r="F1759" s="1" t="s">
        <v>124</v>
      </c>
      <c r="G1759" s="1">
        <v>201001</v>
      </c>
      <c r="H1759" s="1">
        <v>375</v>
      </c>
    </row>
    <row r="1760" spans="1:8" ht="21.75" customHeight="1">
      <c r="A1760" s="1" t="str">
        <f>"004446"</f>
        <v>004446</v>
      </c>
      <c r="B1760" s="1" t="s">
        <v>6545</v>
      </c>
      <c r="C1760" s="1" t="s">
        <v>6546</v>
      </c>
      <c r="D1760" s="1" t="s">
        <v>6547</v>
      </c>
      <c r="E1760" s="1" t="s">
        <v>124</v>
      </c>
      <c r="F1760" s="1" t="s">
        <v>124</v>
      </c>
      <c r="G1760" s="1">
        <v>201002</v>
      </c>
      <c r="H1760" s="1">
        <v>3.75</v>
      </c>
    </row>
    <row r="1761" spans="1:8" ht="21.75" customHeight="1">
      <c r="A1761" s="1" t="str">
        <f>"1201330001568212"</f>
        <v>1201330001568212</v>
      </c>
      <c r="B1761" s="1" t="s">
        <v>6548</v>
      </c>
      <c r="C1761" s="1" t="s">
        <v>6549</v>
      </c>
      <c r="D1761" s="1" t="s">
        <v>6550</v>
      </c>
      <c r="E1761" s="1" t="s">
        <v>6551</v>
      </c>
      <c r="F1761" s="1" t="s">
        <v>124</v>
      </c>
      <c r="G1761" s="1">
        <v>201206</v>
      </c>
      <c r="H1761" s="1">
        <v>75</v>
      </c>
    </row>
    <row r="1762" spans="1:8" ht="21.75" customHeight="1">
      <c r="A1762" s="1" t="str">
        <f>"IN30021412550453"</f>
        <v>IN30021412550453</v>
      </c>
      <c r="B1762" s="1" t="s">
        <v>6552</v>
      </c>
      <c r="C1762" s="1" t="s">
        <v>6553</v>
      </c>
      <c r="D1762" s="1" t="s">
        <v>6554</v>
      </c>
      <c r="E1762" s="1" t="s">
        <v>1625</v>
      </c>
      <c r="F1762" s="1"/>
      <c r="G1762" s="1">
        <v>201301</v>
      </c>
      <c r="H1762" s="1">
        <v>187.5</v>
      </c>
    </row>
    <row r="1763" spans="1:8" ht="21.75" customHeight="1">
      <c r="A1763" s="1" t="str">
        <f>"IN30036021965318"</f>
        <v>IN30036021965318</v>
      </c>
      <c r="B1763" s="1" t="s">
        <v>6555</v>
      </c>
      <c r="C1763" s="1" t="s">
        <v>6556</v>
      </c>
      <c r="D1763" s="1" t="s">
        <v>6557</v>
      </c>
      <c r="E1763" s="1" t="s">
        <v>1333</v>
      </c>
      <c r="F1763" s="1"/>
      <c r="G1763" s="1">
        <v>201301</v>
      </c>
      <c r="H1763" s="1">
        <v>292.5</v>
      </c>
    </row>
    <row r="1764" spans="1:8" ht="21.75" customHeight="1">
      <c r="A1764" s="1" t="str">
        <f>"IN30120910077493"</f>
        <v>IN30120910077493</v>
      </c>
      <c r="B1764" s="1" t="s">
        <v>6558</v>
      </c>
      <c r="C1764" s="1" t="s">
        <v>6559</v>
      </c>
      <c r="D1764" s="1" t="s">
        <v>6560</v>
      </c>
      <c r="E1764" s="1" t="s">
        <v>1203</v>
      </c>
      <c r="F1764" s="1"/>
      <c r="G1764" s="1">
        <v>201303</v>
      </c>
      <c r="H1764" s="1">
        <v>412.5</v>
      </c>
    </row>
    <row r="1765" spans="1:8" ht="21.75" customHeight="1">
      <c r="A1765" s="1" t="str">
        <f>"IN30177410428119"</f>
        <v>IN30177410428119</v>
      </c>
      <c r="B1765" s="1" t="s">
        <v>6561</v>
      </c>
      <c r="C1765" s="1">
        <v>266</v>
      </c>
      <c r="D1765" s="1" t="s">
        <v>6562</v>
      </c>
      <c r="E1765" s="1" t="s">
        <v>6563</v>
      </c>
      <c r="F1765" s="1"/>
      <c r="G1765" s="1">
        <v>201303</v>
      </c>
      <c r="H1765" s="1">
        <v>75.75</v>
      </c>
    </row>
    <row r="1766" spans="1:8" ht="21.75" customHeight="1">
      <c r="A1766" s="1" t="str">
        <f>"IN30120910185965"</f>
        <v>IN30120910185965</v>
      </c>
      <c r="B1766" s="1" t="s">
        <v>6564</v>
      </c>
      <c r="C1766" s="1" t="s">
        <v>6565</v>
      </c>
      <c r="D1766" s="1" t="s">
        <v>6566</v>
      </c>
      <c r="E1766" s="1" t="s">
        <v>6567</v>
      </c>
      <c r="F1766" s="1"/>
      <c r="G1766" s="1">
        <v>202001</v>
      </c>
      <c r="H1766" s="1">
        <v>75</v>
      </c>
    </row>
    <row r="1767" spans="1:8" ht="21.75" customHeight="1">
      <c r="A1767" s="1" t="str">
        <f>"1208870017142681"</f>
        <v>1208870017142681</v>
      </c>
      <c r="B1767" s="1" t="s">
        <v>1445</v>
      </c>
      <c r="C1767" s="1" t="s">
        <v>6568</v>
      </c>
      <c r="D1767" s="1" t="s">
        <v>410</v>
      </c>
      <c r="E1767" s="1" t="s">
        <v>410</v>
      </c>
      <c r="F1767" s="1" t="s">
        <v>1634</v>
      </c>
      <c r="G1767" s="1">
        <v>203001</v>
      </c>
      <c r="H1767" s="1">
        <v>5.25</v>
      </c>
    </row>
    <row r="1768" spans="1:8" ht="21.75" customHeight="1">
      <c r="A1768" s="1" t="str">
        <f>"IN30220111644933"</f>
        <v>IN30220111644933</v>
      </c>
      <c r="B1768" s="1" t="s">
        <v>6570</v>
      </c>
      <c r="C1768" s="1" t="s">
        <v>6571</v>
      </c>
      <c r="D1768" s="1" t="s">
        <v>6572</v>
      </c>
      <c r="E1768" s="1" t="s">
        <v>6569</v>
      </c>
      <c r="F1768" s="1"/>
      <c r="G1768" s="1">
        <v>204101</v>
      </c>
      <c r="H1768" s="1">
        <v>24</v>
      </c>
    </row>
    <row r="1769" spans="1:8" ht="21.75" customHeight="1">
      <c r="A1769" s="1" t="str">
        <f>"1208870023448609"</f>
        <v>1208870023448609</v>
      </c>
      <c r="B1769" s="1" t="s">
        <v>6574</v>
      </c>
      <c r="C1769" s="1" t="s">
        <v>6575</v>
      </c>
      <c r="D1769" s="1" t="s">
        <v>6576</v>
      </c>
      <c r="E1769" s="1" t="s">
        <v>6577</v>
      </c>
      <c r="F1769" s="1" t="s">
        <v>6573</v>
      </c>
      <c r="G1769" s="1">
        <v>205001</v>
      </c>
      <c r="H1769" s="1">
        <v>18.75</v>
      </c>
    </row>
    <row r="1770" spans="1:8" ht="21.75" customHeight="1">
      <c r="A1770" s="1" t="str">
        <f>"1304140006725863"</f>
        <v>1304140006725863</v>
      </c>
      <c r="B1770" s="1" t="s">
        <v>6578</v>
      </c>
      <c r="C1770" s="1" t="s">
        <v>6579</v>
      </c>
      <c r="D1770" s="1" t="s">
        <v>1692</v>
      </c>
      <c r="E1770" s="1"/>
      <c r="F1770" s="1" t="s">
        <v>1638</v>
      </c>
      <c r="G1770" s="1">
        <v>207001</v>
      </c>
      <c r="H1770" s="1">
        <v>21</v>
      </c>
    </row>
    <row r="1771" spans="1:8" ht="21.75" customHeight="1">
      <c r="A1771" s="1" t="str">
        <f>"IN30001110100423"</f>
        <v>IN30001110100423</v>
      </c>
      <c r="B1771" s="1" t="s">
        <v>6580</v>
      </c>
      <c r="C1771" s="1" t="s">
        <v>6581</v>
      </c>
      <c r="D1771" s="1" t="s">
        <v>1646</v>
      </c>
      <c r="E1771" s="1"/>
      <c r="F1771" s="1"/>
      <c r="G1771" s="1">
        <v>208001</v>
      </c>
      <c r="H1771" s="1">
        <v>150</v>
      </c>
    </row>
    <row r="1772" spans="1:8" ht="21.75" customHeight="1">
      <c r="A1772" s="1" t="str">
        <f>"IN30070810837303"</f>
        <v>IN30070810837303</v>
      </c>
      <c r="B1772" s="1" t="s">
        <v>6582</v>
      </c>
      <c r="C1772" s="1" t="s">
        <v>6583</v>
      </c>
      <c r="D1772" s="1" t="s">
        <v>6584</v>
      </c>
      <c r="E1772" s="1" t="s">
        <v>6585</v>
      </c>
      <c r="F1772" s="1"/>
      <c r="G1772" s="1">
        <v>208001</v>
      </c>
      <c r="H1772" s="1">
        <v>30</v>
      </c>
    </row>
    <row r="1773" spans="1:8" ht="21.75" customHeight="1">
      <c r="A1773" s="1" t="str">
        <f>"1201090002755811"</f>
        <v>1201090002755811</v>
      </c>
      <c r="B1773" s="1" t="s">
        <v>6586</v>
      </c>
      <c r="C1773" s="1" t="s">
        <v>6587</v>
      </c>
      <c r="D1773" s="1" t="s">
        <v>6588</v>
      </c>
      <c r="E1773" s="1" t="s">
        <v>6589</v>
      </c>
      <c r="F1773" s="1" t="s">
        <v>1646</v>
      </c>
      <c r="G1773" s="1">
        <v>208010</v>
      </c>
      <c r="H1773" s="1">
        <v>123.75</v>
      </c>
    </row>
    <row r="1774" spans="1:8" ht="21.75" customHeight="1">
      <c r="A1774" s="1" t="str">
        <f>"IN30055610088659"</f>
        <v>IN30055610088659</v>
      </c>
      <c r="B1774" s="1" t="s">
        <v>6590</v>
      </c>
      <c r="C1774" s="1" t="s">
        <v>6591</v>
      </c>
      <c r="D1774" s="1" t="s">
        <v>6592</v>
      </c>
      <c r="E1774" s="1" t="s">
        <v>1646</v>
      </c>
      <c r="F1774" s="1"/>
      <c r="G1774" s="1">
        <v>208011</v>
      </c>
      <c r="H1774" s="1">
        <v>37.5</v>
      </c>
    </row>
    <row r="1775" spans="1:8" ht="21.75" customHeight="1">
      <c r="A1775" s="1" t="str">
        <f>"1203320005240252"</f>
        <v>1203320005240252</v>
      </c>
      <c r="B1775" s="1" t="s">
        <v>6593</v>
      </c>
      <c r="C1775" s="1" t="s">
        <v>6594</v>
      </c>
      <c r="D1775" s="1" t="s">
        <v>6595</v>
      </c>
      <c r="E1775" s="1"/>
      <c r="F1775" s="1" t="s">
        <v>1646</v>
      </c>
      <c r="G1775" s="1">
        <v>208011</v>
      </c>
      <c r="H1775" s="1">
        <v>14.25</v>
      </c>
    </row>
    <row r="1776" spans="1:8" ht="21.75" customHeight="1">
      <c r="A1776" s="1" t="str">
        <f>"IN30055610213067"</f>
        <v>IN30055610213067</v>
      </c>
      <c r="B1776" s="1" t="s">
        <v>6596</v>
      </c>
      <c r="C1776" s="1" t="s">
        <v>6597</v>
      </c>
      <c r="D1776" s="1" t="s">
        <v>6598</v>
      </c>
      <c r="E1776" s="1" t="s">
        <v>1646</v>
      </c>
      <c r="F1776" s="1"/>
      <c r="G1776" s="1">
        <v>208012</v>
      </c>
      <c r="H1776" s="1">
        <v>375</v>
      </c>
    </row>
    <row r="1777" spans="1:8" ht="21.75" customHeight="1">
      <c r="A1777" s="1" t="str">
        <f>"1208870008463040"</f>
        <v>1208870008463040</v>
      </c>
      <c r="B1777" s="1" t="s">
        <v>6599</v>
      </c>
      <c r="C1777" s="1" t="s">
        <v>6600</v>
      </c>
      <c r="D1777" s="1" t="s">
        <v>410</v>
      </c>
      <c r="E1777" s="1" t="s">
        <v>410</v>
      </c>
      <c r="F1777" s="1" t="s">
        <v>1654</v>
      </c>
      <c r="G1777" s="1">
        <v>208027</v>
      </c>
      <c r="H1777" s="1">
        <v>75</v>
      </c>
    </row>
    <row r="1778" spans="1:8" ht="21.75" customHeight="1">
      <c r="A1778" s="1" t="str">
        <f>"IN30055610180342"</f>
        <v>IN30055610180342</v>
      </c>
      <c r="B1778" s="1" t="s">
        <v>6601</v>
      </c>
      <c r="C1778" s="1" t="s">
        <v>6602</v>
      </c>
      <c r="D1778" s="1" t="s">
        <v>6603</v>
      </c>
      <c r="E1778" s="1" t="s">
        <v>6604</v>
      </c>
      <c r="F1778" s="1"/>
      <c r="G1778" s="1">
        <v>209601</v>
      </c>
      <c r="H1778" s="1">
        <v>26.25</v>
      </c>
    </row>
    <row r="1779" spans="1:8" ht="21.75" customHeight="1">
      <c r="A1779" s="1" t="str">
        <f>"IN30039417559267"</f>
        <v>IN30039417559267</v>
      </c>
      <c r="B1779" s="1" t="s">
        <v>6605</v>
      </c>
      <c r="C1779" s="1" t="s">
        <v>6606</v>
      </c>
      <c r="D1779" s="1" t="s">
        <v>6607</v>
      </c>
      <c r="E1779" s="1" t="s">
        <v>6608</v>
      </c>
      <c r="F1779" s="1"/>
      <c r="G1779" s="1">
        <v>210427</v>
      </c>
      <c r="H1779" s="1">
        <v>8.25</v>
      </c>
    </row>
    <row r="1780" spans="1:8" ht="21.75" customHeight="1">
      <c r="A1780" s="1" t="str">
        <f>"IN30096610558895"</f>
        <v>IN30096610558895</v>
      </c>
      <c r="B1780" s="1" t="s">
        <v>6609</v>
      </c>
      <c r="C1780" s="1">
        <v>17</v>
      </c>
      <c r="D1780" s="1" t="s">
        <v>6610</v>
      </c>
      <c r="E1780" s="1" t="s">
        <v>6611</v>
      </c>
      <c r="F1780" s="1"/>
      <c r="G1780" s="1">
        <v>210427</v>
      </c>
      <c r="H1780" s="1">
        <v>37.5</v>
      </c>
    </row>
    <row r="1781" spans="1:8" ht="21.75" customHeight="1">
      <c r="A1781" s="1" t="str">
        <f>"IN30133017166377"</f>
        <v>IN30133017166377</v>
      </c>
      <c r="B1781" s="1" t="s">
        <v>6613</v>
      </c>
      <c r="C1781" s="1" t="s">
        <v>6614</v>
      </c>
      <c r="D1781" s="1" t="s">
        <v>6615</v>
      </c>
      <c r="E1781" s="1" t="s">
        <v>6616</v>
      </c>
      <c r="F1781" s="1"/>
      <c r="G1781" s="1">
        <v>221001</v>
      </c>
      <c r="H1781" s="1">
        <v>375</v>
      </c>
    </row>
    <row r="1782" spans="1:8" ht="21.75" customHeight="1">
      <c r="A1782" s="1" t="str">
        <f>"004393"</f>
        <v>004393</v>
      </c>
      <c r="B1782" s="1" t="s">
        <v>6617</v>
      </c>
      <c r="C1782" s="1" t="s">
        <v>6618</v>
      </c>
      <c r="D1782" s="1" t="s">
        <v>6619</v>
      </c>
      <c r="E1782" s="1" t="s">
        <v>723</v>
      </c>
      <c r="F1782" s="1" t="s">
        <v>723</v>
      </c>
      <c r="G1782" s="1">
        <v>221001</v>
      </c>
      <c r="H1782" s="1">
        <v>37.5</v>
      </c>
    </row>
    <row r="1783" spans="1:8" ht="21.75" customHeight="1">
      <c r="A1783" s="1" t="str">
        <f>"IN30177415607208"</f>
        <v>IN30177415607208</v>
      </c>
      <c r="B1783" s="1" t="s">
        <v>6620</v>
      </c>
      <c r="C1783" s="1" t="s">
        <v>6621</v>
      </c>
      <c r="D1783" s="1"/>
      <c r="E1783" s="1" t="s">
        <v>723</v>
      </c>
      <c r="F1783" s="1"/>
      <c r="G1783" s="1">
        <v>221004</v>
      </c>
      <c r="H1783" s="1">
        <v>18.75</v>
      </c>
    </row>
    <row r="1784" spans="1:8" ht="21.75" customHeight="1">
      <c r="A1784" s="1" t="str">
        <f>"1208160074632584"</f>
        <v>1208160074632584</v>
      </c>
      <c r="B1784" s="1" t="s">
        <v>6622</v>
      </c>
      <c r="C1784" s="1" t="s">
        <v>6623</v>
      </c>
      <c r="D1784" s="1"/>
      <c r="E1784" s="1"/>
      <c r="F1784" s="1" t="s">
        <v>1716</v>
      </c>
      <c r="G1784" s="1">
        <v>224001</v>
      </c>
      <c r="H1784" s="1">
        <v>0.75</v>
      </c>
    </row>
    <row r="1785" spans="1:8" ht="21.75" customHeight="1">
      <c r="A1785" s="1" t="str">
        <f>"1301440000592406"</f>
        <v>1301440000592406</v>
      </c>
      <c r="B1785" s="1" t="s">
        <v>6624</v>
      </c>
      <c r="C1785" s="1" t="s">
        <v>6625</v>
      </c>
      <c r="D1785" s="1" t="s">
        <v>6626</v>
      </c>
      <c r="E1785" s="1" t="s">
        <v>6627</v>
      </c>
      <c r="F1785" s="1" t="s">
        <v>6628</v>
      </c>
      <c r="G1785" s="1">
        <v>224149</v>
      </c>
      <c r="H1785" s="1">
        <v>3.75</v>
      </c>
    </row>
    <row r="1786" spans="1:8" ht="21.75" customHeight="1">
      <c r="A1786" s="1" t="str">
        <f>"1203840000883737"</f>
        <v>1203840000883737</v>
      </c>
      <c r="B1786" s="1" t="s">
        <v>6629</v>
      </c>
      <c r="C1786" s="1" t="s">
        <v>6630</v>
      </c>
      <c r="D1786" s="1" t="s">
        <v>6631</v>
      </c>
      <c r="E1786" s="1"/>
      <c r="F1786" s="1" t="s">
        <v>130</v>
      </c>
      <c r="G1786" s="1">
        <v>226003</v>
      </c>
      <c r="H1786" s="1">
        <v>105.75</v>
      </c>
    </row>
    <row r="1787" spans="1:8" ht="21.75" customHeight="1">
      <c r="A1787" s="1" t="str">
        <f>"IN30085310293516"</f>
        <v>IN30085310293516</v>
      </c>
      <c r="B1787" s="1" t="s">
        <v>6632</v>
      </c>
      <c r="C1787" s="1" t="s">
        <v>6633</v>
      </c>
      <c r="D1787" s="1" t="s">
        <v>6634</v>
      </c>
      <c r="E1787" s="1" t="s">
        <v>130</v>
      </c>
      <c r="F1787" s="1"/>
      <c r="G1787" s="1">
        <v>226010</v>
      </c>
      <c r="H1787" s="1">
        <v>15</v>
      </c>
    </row>
    <row r="1788" spans="1:8" ht="21.75" customHeight="1">
      <c r="A1788" s="1" t="str">
        <f>"1203320000798127"</f>
        <v>1203320000798127</v>
      </c>
      <c r="B1788" s="1" t="s">
        <v>6636</v>
      </c>
      <c r="C1788" s="1" t="s">
        <v>6637</v>
      </c>
      <c r="D1788" s="1" t="s">
        <v>6638</v>
      </c>
      <c r="E1788" s="1" t="s">
        <v>1745</v>
      </c>
      <c r="F1788" s="1" t="s">
        <v>130</v>
      </c>
      <c r="G1788" s="1">
        <v>226021</v>
      </c>
      <c r="H1788" s="1">
        <v>15</v>
      </c>
    </row>
    <row r="1789" spans="1:8" ht="21.75" customHeight="1">
      <c r="A1789" s="1" t="str">
        <f>"1203320004427816"</f>
        <v>1203320004427816</v>
      </c>
      <c r="B1789" s="1" t="s">
        <v>6639</v>
      </c>
      <c r="C1789" s="1" t="s">
        <v>6640</v>
      </c>
      <c r="D1789" s="1" t="s">
        <v>6641</v>
      </c>
      <c r="E1789" s="1"/>
      <c r="F1789" s="1" t="s">
        <v>130</v>
      </c>
      <c r="G1789" s="1">
        <v>226024</v>
      </c>
      <c r="H1789" s="1">
        <v>63</v>
      </c>
    </row>
    <row r="1790" spans="1:8" ht="21.75" customHeight="1">
      <c r="A1790" s="1" t="str">
        <f>"IN30051317435596"</f>
        <v>IN30051317435596</v>
      </c>
      <c r="B1790" s="1" t="s">
        <v>6642</v>
      </c>
      <c r="C1790" s="1" t="s">
        <v>6643</v>
      </c>
      <c r="D1790" s="1"/>
      <c r="E1790" s="1" t="s">
        <v>6644</v>
      </c>
      <c r="F1790" s="1"/>
      <c r="G1790" s="1">
        <v>226305</v>
      </c>
      <c r="H1790" s="1">
        <v>67.5</v>
      </c>
    </row>
    <row r="1791" spans="1:8" ht="21.75" customHeight="1">
      <c r="A1791" s="1" t="str">
        <f>"1203460000304201"</f>
        <v>1203460000304201</v>
      </c>
      <c r="B1791" s="1" t="s">
        <v>6645</v>
      </c>
      <c r="C1791" s="1" t="s">
        <v>6646</v>
      </c>
      <c r="D1791" s="1" t="s">
        <v>6647</v>
      </c>
      <c r="E1791" s="1"/>
      <c r="F1791" s="1" t="s">
        <v>1750</v>
      </c>
      <c r="G1791" s="1">
        <v>229001</v>
      </c>
      <c r="H1791" s="1">
        <v>75</v>
      </c>
    </row>
    <row r="1792" spans="1:8" ht="21.75" customHeight="1">
      <c r="A1792" s="1" t="str">
        <f>"1301440002590452"</f>
        <v>1301440002590452</v>
      </c>
      <c r="B1792" s="1" t="s">
        <v>6648</v>
      </c>
      <c r="C1792" s="1" t="s">
        <v>6649</v>
      </c>
      <c r="D1792" s="1" t="s">
        <v>6650</v>
      </c>
      <c r="E1792" s="1"/>
      <c r="F1792" s="1" t="s">
        <v>6651</v>
      </c>
      <c r="G1792" s="1">
        <v>229301</v>
      </c>
      <c r="H1792" s="1">
        <v>1.5</v>
      </c>
    </row>
    <row r="1793" spans="1:8" ht="21.75" customHeight="1">
      <c r="A1793" s="1" t="str">
        <f>"1204720009589307"</f>
        <v>1204720009589307</v>
      </c>
      <c r="B1793" s="1" t="s">
        <v>6652</v>
      </c>
      <c r="C1793" s="1" t="s">
        <v>6653</v>
      </c>
      <c r="D1793" s="1" t="s">
        <v>6654</v>
      </c>
      <c r="E1793" s="1" t="s">
        <v>6655</v>
      </c>
      <c r="F1793" s="1" t="s">
        <v>1750</v>
      </c>
      <c r="G1793" s="1">
        <v>229406</v>
      </c>
      <c r="H1793" s="1">
        <v>18.75</v>
      </c>
    </row>
    <row r="1794" spans="1:8" ht="21.75" customHeight="1">
      <c r="A1794" s="1" t="str">
        <f>"1201090001747689"</f>
        <v>1201090001747689</v>
      </c>
      <c r="B1794" s="1" t="s">
        <v>6657</v>
      </c>
      <c r="C1794" s="1" t="s">
        <v>6658</v>
      </c>
      <c r="D1794" s="1" t="s">
        <v>6659</v>
      </c>
      <c r="E1794" s="1"/>
      <c r="F1794" s="1" t="s">
        <v>6656</v>
      </c>
      <c r="G1794" s="1">
        <v>231001</v>
      </c>
      <c r="H1794" s="1">
        <v>75</v>
      </c>
    </row>
    <row r="1795" spans="1:8" ht="21.75" customHeight="1">
      <c r="A1795" s="1" t="str">
        <f>"1201090001736172"</f>
        <v>1201090001736172</v>
      </c>
      <c r="B1795" s="1" t="s">
        <v>6660</v>
      </c>
      <c r="C1795" s="1" t="s">
        <v>6658</v>
      </c>
      <c r="D1795" s="1" t="s">
        <v>6659</v>
      </c>
      <c r="E1795" s="1" t="s">
        <v>6656</v>
      </c>
      <c r="F1795" s="1" t="s">
        <v>6656</v>
      </c>
      <c r="G1795" s="1">
        <v>231001</v>
      </c>
      <c r="H1795" s="1">
        <v>75</v>
      </c>
    </row>
    <row r="1796" spans="1:8" ht="21.75" customHeight="1">
      <c r="A1796" s="1" t="str">
        <f>"1201320001190313"</f>
        <v>1201320001190313</v>
      </c>
      <c r="B1796" s="1" t="s">
        <v>6661</v>
      </c>
      <c r="C1796" s="1" t="s">
        <v>6662</v>
      </c>
      <c r="D1796" s="1" t="s">
        <v>6656</v>
      </c>
      <c r="E1796" s="1"/>
      <c r="F1796" s="1" t="s">
        <v>6656</v>
      </c>
      <c r="G1796" s="1">
        <v>231001</v>
      </c>
      <c r="H1796" s="1">
        <v>150</v>
      </c>
    </row>
    <row r="1797" spans="1:8" ht="21.75" customHeight="1">
      <c r="A1797" s="1" t="str">
        <f>"IN30267939554698"</f>
        <v>IN30267939554698</v>
      </c>
      <c r="B1797" s="1" t="s">
        <v>6663</v>
      </c>
      <c r="C1797" s="1" t="s">
        <v>6664</v>
      </c>
      <c r="D1797" s="1" t="s">
        <v>6665</v>
      </c>
      <c r="E1797" s="1" t="s">
        <v>6666</v>
      </c>
      <c r="F1797" s="1"/>
      <c r="G1797" s="1">
        <v>231217</v>
      </c>
      <c r="H1797" s="1">
        <v>532.5</v>
      </c>
    </row>
    <row r="1798" spans="1:8" ht="21.75" customHeight="1">
      <c r="A1798" s="1" t="str">
        <f>"IN30045013609909"</f>
        <v>IN30045013609909</v>
      </c>
      <c r="B1798" s="1" t="s">
        <v>6668</v>
      </c>
      <c r="C1798" s="1" t="s">
        <v>6669</v>
      </c>
      <c r="D1798" s="1" t="s">
        <v>6670</v>
      </c>
      <c r="E1798" s="1" t="s">
        <v>6671</v>
      </c>
      <c r="F1798" s="1"/>
      <c r="G1798" s="1">
        <v>231217</v>
      </c>
      <c r="H1798" s="1">
        <v>7.5</v>
      </c>
    </row>
    <row r="1799" spans="1:8" ht="21.75" customHeight="1">
      <c r="A1799" s="1" t="str">
        <f>"1201910102334420"</f>
        <v>1201910102334420</v>
      </c>
      <c r="B1799" s="1" t="s">
        <v>6672</v>
      </c>
      <c r="C1799" s="1" t="s">
        <v>6673</v>
      </c>
      <c r="D1799" s="1" t="s">
        <v>6674</v>
      </c>
      <c r="E1799" s="1" t="s">
        <v>6675</v>
      </c>
      <c r="F1799" s="1" t="s">
        <v>6667</v>
      </c>
      <c r="G1799" s="1">
        <v>231223</v>
      </c>
      <c r="H1799" s="1">
        <v>52.5</v>
      </c>
    </row>
    <row r="1800" spans="1:8" ht="21.75" customHeight="1">
      <c r="A1800" s="1" t="str">
        <f>"IN30155720198977"</f>
        <v>IN30155720198977</v>
      </c>
      <c r="B1800" s="1" t="s">
        <v>6676</v>
      </c>
      <c r="C1800" s="1" t="s">
        <v>6677</v>
      </c>
      <c r="D1800" s="1" t="s">
        <v>6678</v>
      </c>
      <c r="E1800" s="1" t="s">
        <v>6679</v>
      </c>
      <c r="F1800" s="1"/>
      <c r="G1800" s="1">
        <v>231223</v>
      </c>
      <c r="H1800" s="1">
        <v>60</v>
      </c>
    </row>
    <row r="1801" spans="1:8" ht="21.75" customHeight="1">
      <c r="A1801" s="1" t="str">
        <f>"1204720009705728"</f>
        <v>1204720009705728</v>
      </c>
      <c r="B1801" s="1" t="s">
        <v>6681</v>
      </c>
      <c r="C1801" s="1" t="s">
        <v>6682</v>
      </c>
      <c r="D1801" s="1" t="s">
        <v>6683</v>
      </c>
      <c r="E1801" s="1" t="s">
        <v>6674</v>
      </c>
      <c r="F1801" s="1" t="s">
        <v>6680</v>
      </c>
      <c r="G1801" s="1">
        <v>231223</v>
      </c>
      <c r="H1801" s="1">
        <v>39</v>
      </c>
    </row>
    <row r="1802" spans="1:8" ht="21.75" customHeight="1">
      <c r="A1802" s="1" t="str">
        <f>"IN30155720666656"</f>
        <v>IN30155720666656</v>
      </c>
      <c r="B1802" s="1" t="s">
        <v>6684</v>
      </c>
      <c r="C1802" s="1" t="s">
        <v>6685</v>
      </c>
      <c r="D1802" s="1"/>
      <c r="E1802" s="1" t="s">
        <v>733</v>
      </c>
      <c r="F1802" s="1"/>
      <c r="G1802" s="1">
        <v>243001</v>
      </c>
      <c r="H1802" s="1">
        <v>45</v>
      </c>
    </row>
    <row r="1803" spans="1:8" ht="21.75" customHeight="1">
      <c r="A1803" s="1" t="str">
        <f>"1201410000022112"</f>
        <v>1201410000022112</v>
      </c>
      <c r="B1803" s="1" t="s">
        <v>631</v>
      </c>
      <c r="C1803" s="1">
        <v>312</v>
      </c>
      <c r="D1803" s="1" t="s">
        <v>6686</v>
      </c>
      <c r="E1803" s="1" t="s">
        <v>410</v>
      </c>
      <c r="F1803" s="1" t="s">
        <v>733</v>
      </c>
      <c r="G1803" s="1">
        <v>243001</v>
      </c>
      <c r="H1803" s="1">
        <v>750</v>
      </c>
    </row>
    <row r="1804" spans="1:8" ht="21.75" customHeight="1">
      <c r="A1804" s="1" t="str">
        <f>"IN30118620046429"</f>
        <v>IN30118620046429</v>
      </c>
      <c r="B1804" s="1" t="s">
        <v>6687</v>
      </c>
      <c r="C1804" s="1" t="s">
        <v>6688</v>
      </c>
      <c r="D1804" s="1" t="s">
        <v>6689</v>
      </c>
      <c r="E1804" s="1" t="s">
        <v>6690</v>
      </c>
      <c r="F1804" s="1"/>
      <c r="G1804" s="1">
        <v>243006</v>
      </c>
      <c r="H1804" s="1">
        <v>7.5</v>
      </c>
    </row>
    <row r="1805" spans="1:8" ht="21.75" customHeight="1">
      <c r="A1805" s="1" t="str">
        <f>"IN30118620141679"</f>
        <v>IN30118620141679</v>
      </c>
      <c r="B1805" s="1" t="s">
        <v>6692</v>
      </c>
      <c r="C1805" s="1" t="s">
        <v>6693</v>
      </c>
      <c r="D1805" s="1" t="s">
        <v>6694</v>
      </c>
      <c r="E1805" s="1" t="s">
        <v>6695</v>
      </c>
      <c r="F1805" s="1"/>
      <c r="G1805" s="1">
        <v>243122</v>
      </c>
      <c r="H1805" s="1">
        <v>255</v>
      </c>
    </row>
    <row r="1806" spans="1:8" ht="21.75" customHeight="1">
      <c r="A1806" s="1" t="str">
        <f>"IN30118620124298"</f>
        <v>IN30118620124298</v>
      </c>
      <c r="B1806" s="1" t="s">
        <v>6696</v>
      </c>
      <c r="C1806" s="1" t="s">
        <v>6697</v>
      </c>
      <c r="D1806" s="1" t="s">
        <v>6698</v>
      </c>
      <c r="E1806" s="1" t="s">
        <v>733</v>
      </c>
      <c r="F1806" s="1"/>
      <c r="G1806" s="1">
        <v>243502</v>
      </c>
      <c r="H1806" s="1">
        <v>75</v>
      </c>
    </row>
    <row r="1807" spans="1:8" ht="21.75" customHeight="1">
      <c r="A1807" s="1" t="str">
        <f>"IN30165310063490"</f>
        <v>IN30165310063490</v>
      </c>
      <c r="B1807" s="1" t="s">
        <v>6699</v>
      </c>
      <c r="C1807" s="1" t="s">
        <v>6700</v>
      </c>
      <c r="D1807" s="1" t="s">
        <v>6701</v>
      </c>
      <c r="E1807" s="1" t="s">
        <v>6702</v>
      </c>
      <c r="F1807" s="1"/>
      <c r="G1807" s="1">
        <v>244001</v>
      </c>
      <c r="H1807" s="1">
        <v>75</v>
      </c>
    </row>
    <row r="1808" spans="1:8" ht="21.75" customHeight="1">
      <c r="A1808" s="1" t="str">
        <f>"IN30226910827796"</f>
        <v>IN30226910827796</v>
      </c>
      <c r="B1808" s="1" t="s">
        <v>6703</v>
      </c>
      <c r="C1808" s="1" t="s">
        <v>6704</v>
      </c>
      <c r="D1808" s="1" t="s">
        <v>6705</v>
      </c>
      <c r="E1808" s="1" t="s">
        <v>6706</v>
      </c>
      <c r="F1808" s="1"/>
      <c r="G1808" s="1">
        <v>244002</v>
      </c>
      <c r="H1808" s="1">
        <v>6.75</v>
      </c>
    </row>
    <row r="1809" spans="1:8" ht="21.75" customHeight="1">
      <c r="A1809" s="1" t="str">
        <f>"1208870015573225"</f>
        <v>1208870015573225</v>
      </c>
      <c r="B1809" s="1" t="s">
        <v>6707</v>
      </c>
      <c r="C1809" s="1" t="s">
        <v>6708</v>
      </c>
      <c r="D1809" s="1" t="s">
        <v>6709</v>
      </c>
      <c r="E1809" s="1" t="s">
        <v>6710</v>
      </c>
      <c r="F1809" s="1" t="s">
        <v>6711</v>
      </c>
      <c r="G1809" s="1">
        <v>244235</v>
      </c>
      <c r="H1809" s="1">
        <v>75</v>
      </c>
    </row>
    <row r="1810" spans="1:8" ht="21.75" customHeight="1">
      <c r="A1810" s="1" t="str">
        <f>"1201910100097769"</f>
        <v>1201910100097769</v>
      </c>
      <c r="B1810" s="1" t="s">
        <v>6712</v>
      </c>
      <c r="C1810" s="1" t="s">
        <v>6713</v>
      </c>
      <c r="D1810" s="1" t="s">
        <v>6714</v>
      </c>
      <c r="E1810" s="1" t="s">
        <v>6715</v>
      </c>
      <c r="F1810" s="1" t="s">
        <v>6716</v>
      </c>
      <c r="G1810" s="1">
        <v>244713</v>
      </c>
      <c r="H1810" s="1">
        <v>1.5</v>
      </c>
    </row>
    <row r="1811" spans="1:8" ht="21.75" customHeight="1">
      <c r="A1811" s="1" t="str">
        <f>"IN30070810725978"</f>
        <v>IN30070810725978</v>
      </c>
      <c r="B1811" s="1" t="s">
        <v>6717</v>
      </c>
      <c r="C1811" s="1" t="s">
        <v>6718</v>
      </c>
      <c r="D1811" s="1" t="s">
        <v>6719</v>
      </c>
      <c r="E1811" s="1" t="s">
        <v>6720</v>
      </c>
      <c r="F1811" s="1"/>
      <c r="G1811" s="1">
        <v>244713</v>
      </c>
      <c r="H1811" s="1">
        <v>37.5</v>
      </c>
    </row>
    <row r="1812" spans="1:8" ht="21.75" customHeight="1">
      <c r="A1812" s="1" t="str">
        <f>"1201770100523115"</f>
        <v>1201770100523115</v>
      </c>
      <c r="B1812" s="1" t="s">
        <v>6721</v>
      </c>
      <c r="C1812" s="1" t="s">
        <v>6722</v>
      </c>
      <c r="D1812" s="1" t="s">
        <v>6723</v>
      </c>
      <c r="E1812" s="1"/>
      <c r="F1812" s="1" t="s">
        <v>140</v>
      </c>
      <c r="G1812" s="1">
        <v>245101</v>
      </c>
      <c r="H1812" s="1">
        <v>105</v>
      </c>
    </row>
    <row r="1813" spans="1:8" ht="21.75" customHeight="1">
      <c r="A1813" s="1" t="str">
        <f>"1208160017565989"</f>
        <v>1208160017565989</v>
      </c>
      <c r="B1813" s="1" t="s">
        <v>6724</v>
      </c>
      <c r="C1813" s="1" t="s">
        <v>6725</v>
      </c>
      <c r="D1813" s="1" t="s">
        <v>6726</v>
      </c>
      <c r="E1813" s="1"/>
      <c r="F1813" s="1" t="s">
        <v>1634</v>
      </c>
      <c r="G1813" s="1">
        <v>245405</v>
      </c>
      <c r="H1813" s="1">
        <v>52.5</v>
      </c>
    </row>
    <row r="1814" spans="1:8" ht="21.75" customHeight="1">
      <c r="A1814" s="1" t="str">
        <f>"1205820000025012"</f>
        <v>1205820000025012</v>
      </c>
      <c r="B1814" s="1" t="s">
        <v>6727</v>
      </c>
      <c r="C1814" s="1" t="s">
        <v>6728</v>
      </c>
      <c r="D1814" s="1" t="s">
        <v>6729</v>
      </c>
      <c r="E1814" s="1"/>
      <c r="F1814" s="1" t="s">
        <v>6730</v>
      </c>
      <c r="G1814" s="1">
        <v>246149</v>
      </c>
      <c r="H1814" s="1">
        <v>37.5</v>
      </c>
    </row>
    <row r="1815" spans="1:8" ht="21.75" customHeight="1">
      <c r="A1815" s="1" t="str">
        <f>"IN30177414348411"</f>
        <v>IN30177414348411</v>
      </c>
      <c r="B1815" s="1" t="s">
        <v>6731</v>
      </c>
      <c r="C1815" s="1">
        <v>201</v>
      </c>
      <c r="D1815" s="1" t="s">
        <v>6732</v>
      </c>
      <c r="E1815" s="1" t="s">
        <v>6730</v>
      </c>
      <c r="F1815" s="1"/>
      <c r="G1815" s="1">
        <v>246149</v>
      </c>
      <c r="H1815" s="1">
        <v>93.75</v>
      </c>
    </row>
    <row r="1816" spans="1:8" ht="21.75" customHeight="1">
      <c r="A1816" s="1" t="str">
        <f>"1201910101790799"</f>
        <v>1201910101790799</v>
      </c>
      <c r="B1816" s="1" t="s">
        <v>6733</v>
      </c>
      <c r="C1816" s="1" t="s">
        <v>6734</v>
      </c>
      <c r="D1816" s="1" t="s">
        <v>6735</v>
      </c>
      <c r="E1816" s="1"/>
      <c r="F1816" s="1" t="s">
        <v>6736</v>
      </c>
      <c r="G1816" s="1">
        <v>246761</v>
      </c>
      <c r="H1816" s="1">
        <v>75</v>
      </c>
    </row>
    <row r="1817" spans="1:8" ht="21.75" customHeight="1">
      <c r="A1817" s="1" t="str">
        <f>"1201330000336402"</f>
        <v>1201330000336402</v>
      </c>
      <c r="B1817" s="1" t="s">
        <v>6738</v>
      </c>
      <c r="C1817" s="1" t="s">
        <v>6739</v>
      </c>
      <c r="D1817" s="1" t="s">
        <v>6740</v>
      </c>
      <c r="E1817" s="1" t="s">
        <v>6741</v>
      </c>
      <c r="F1817" s="1" t="s">
        <v>6737</v>
      </c>
      <c r="G1817" s="1">
        <v>247001</v>
      </c>
      <c r="H1817" s="1">
        <v>32.25</v>
      </c>
    </row>
    <row r="1818" spans="1:8" ht="21.75" customHeight="1">
      <c r="A1818" s="1" t="str">
        <f>"1202990000204621"</f>
        <v>1202990000204621</v>
      </c>
      <c r="B1818" s="1" t="s">
        <v>6742</v>
      </c>
      <c r="C1818" s="1" t="s">
        <v>6743</v>
      </c>
      <c r="D1818" s="1" t="s">
        <v>6744</v>
      </c>
      <c r="E1818" s="1"/>
      <c r="F1818" s="1" t="s">
        <v>6737</v>
      </c>
      <c r="G1818" s="1">
        <v>247001</v>
      </c>
      <c r="H1818" s="1">
        <v>7.5</v>
      </c>
    </row>
    <row r="1819" spans="1:8" ht="21.75" customHeight="1">
      <c r="A1819" s="1" t="str">
        <f>"1301440000692390"</f>
        <v>1301440000692390</v>
      </c>
      <c r="B1819" s="1" t="s">
        <v>6745</v>
      </c>
      <c r="C1819" s="1" t="s">
        <v>6746</v>
      </c>
      <c r="D1819" s="1" t="s">
        <v>6747</v>
      </c>
      <c r="E1819" s="1"/>
      <c r="F1819" s="1" t="s">
        <v>6737</v>
      </c>
      <c r="G1819" s="1">
        <v>247232</v>
      </c>
      <c r="H1819" s="1">
        <v>37.5</v>
      </c>
    </row>
    <row r="1820" spans="1:8" ht="21.75" customHeight="1">
      <c r="A1820" s="1" t="str">
        <f>"IN30051318175800"</f>
        <v>IN30051318175800</v>
      </c>
      <c r="B1820" s="1" t="s">
        <v>6748</v>
      </c>
      <c r="C1820" s="1" t="s">
        <v>6749</v>
      </c>
      <c r="D1820" s="1" t="s">
        <v>6750</v>
      </c>
      <c r="E1820" s="1" t="s">
        <v>6751</v>
      </c>
      <c r="F1820" s="1"/>
      <c r="G1820" s="1">
        <v>247776</v>
      </c>
      <c r="H1820" s="1">
        <v>37.5</v>
      </c>
    </row>
    <row r="1821" spans="1:8" ht="21.75" customHeight="1">
      <c r="A1821" s="1" t="str">
        <f>"IN30112716790375"</f>
        <v>IN30112716790375</v>
      </c>
      <c r="B1821" s="1" t="s">
        <v>6752</v>
      </c>
      <c r="C1821" s="1" t="s">
        <v>6753</v>
      </c>
      <c r="D1821" s="1" t="s">
        <v>6754</v>
      </c>
      <c r="E1821" s="1" t="s">
        <v>737</v>
      </c>
      <c r="F1821" s="1"/>
      <c r="G1821" s="1">
        <v>248001</v>
      </c>
      <c r="H1821" s="1">
        <v>603.75</v>
      </c>
    </row>
    <row r="1822" spans="1:8" ht="21.75" customHeight="1">
      <c r="A1822" s="1" t="str">
        <f>"IN30021432929205"</f>
        <v>IN30021432929205</v>
      </c>
      <c r="B1822" s="1" t="s">
        <v>6755</v>
      </c>
      <c r="C1822" s="1" t="s">
        <v>6756</v>
      </c>
      <c r="D1822" s="1" t="s">
        <v>6757</v>
      </c>
      <c r="E1822" s="1" t="s">
        <v>6758</v>
      </c>
      <c r="F1822" s="1"/>
      <c r="G1822" s="1">
        <v>248002</v>
      </c>
      <c r="H1822" s="1">
        <v>75</v>
      </c>
    </row>
    <row r="1823" spans="1:8" ht="21.75" customHeight="1">
      <c r="A1823" s="1" t="str">
        <f>"1202890000989533"</f>
        <v>1202890000989533</v>
      </c>
      <c r="B1823" s="1" t="s">
        <v>6759</v>
      </c>
      <c r="C1823" s="1" t="s">
        <v>6760</v>
      </c>
      <c r="D1823" s="1" t="s">
        <v>6761</v>
      </c>
      <c r="E1823" s="1" t="s">
        <v>6762</v>
      </c>
      <c r="F1823" s="1" t="s">
        <v>737</v>
      </c>
      <c r="G1823" s="1">
        <v>248125</v>
      </c>
      <c r="H1823" s="1">
        <v>150</v>
      </c>
    </row>
    <row r="1824" spans="1:8" ht="21.75" customHeight="1">
      <c r="A1824" s="1" t="str">
        <f>"1202060000806056"</f>
        <v>1202060000806056</v>
      </c>
      <c r="B1824" s="1" t="s">
        <v>6763</v>
      </c>
      <c r="C1824" s="1">
        <v>173</v>
      </c>
      <c r="D1824" s="1" t="s">
        <v>6764</v>
      </c>
      <c r="E1824" s="1" t="s">
        <v>6765</v>
      </c>
      <c r="F1824" s="1" t="s">
        <v>6765</v>
      </c>
      <c r="G1824" s="1">
        <v>249201</v>
      </c>
      <c r="H1824" s="1">
        <v>75</v>
      </c>
    </row>
    <row r="1825" spans="1:8" ht="21.75" customHeight="1">
      <c r="A1825" s="1" t="str">
        <f>"1201910100146811"</f>
        <v>1201910100146811</v>
      </c>
      <c r="B1825" s="1" t="s">
        <v>6767</v>
      </c>
      <c r="C1825" s="1" t="s">
        <v>6768</v>
      </c>
      <c r="D1825" s="1" t="s">
        <v>6769</v>
      </c>
      <c r="E1825" s="1" t="s">
        <v>6770</v>
      </c>
      <c r="F1825" s="1" t="s">
        <v>6771</v>
      </c>
      <c r="G1825" s="1">
        <v>249403</v>
      </c>
      <c r="H1825" s="1">
        <v>18.75</v>
      </c>
    </row>
    <row r="1826" spans="1:8" ht="21.75" customHeight="1">
      <c r="A1826" s="1" t="str">
        <f>"1202060000918501"</f>
        <v>1202060000918501</v>
      </c>
      <c r="B1826" s="1" t="s">
        <v>6772</v>
      </c>
      <c r="C1826" s="1" t="s">
        <v>6773</v>
      </c>
      <c r="D1826" s="1" t="s">
        <v>6774</v>
      </c>
      <c r="E1826" s="1" t="s">
        <v>6775</v>
      </c>
      <c r="F1826" s="1" t="s">
        <v>6766</v>
      </c>
      <c r="G1826" s="1">
        <v>249407</v>
      </c>
      <c r="H1826" s="1">
        <v>15.75</v>
      </c>
    </row>
    <row r="1827" spans="1:8" ht="21.75" customHeight="1">
      <c r="A1827" s="1" t="str">
        <f>"1204720009536991"</f>
        <v>1204720009536991</v>
      </c>
      <c r="B1827" s="1" t="s">
        <v>6776</v>
      </c>
      <c r="C1827" s="1" t="s">
        <v>6777</v>
      </c>
      <c r="D1827" s="1" t="s">
        <v>745</v>
      </c>
      <c r="E1827" s="1" t="s">
        <v>410</v>
      </c>
      <c r="F1827" s="1" t="s">
        <v>745</v>
      </c>
      <c r="G1827" s="1">
        <v>250004</v>
      </c>
      <c r="H1827" s="1">
        <v>75</v>
      </c>
    </row>
    <row r="1828" spans="1:8" ht="21.75" customHeight="1">
      <c r="A1828" s="1" t="str">
        <f>"IN30096610546094"</f>
        <v>IN30096610546094</v>
      </c>
      <c r="B1828" s="1" t="s">
        <v>6778</v>
      </c>
      <c r="C1828" s="1" t="s">
        <v>6779</v>
      </c>
      <c r="D1828" s="1" t="s">
        <v>6516</v>
      </c>
      <c r="E1828" s="1" t="s">
        <v>6780</v>
      </c>
      <c r="F1828" s="1"/>
      <c r="G1828" s="1">
        <v>250004</v>
      </c>
      <c r="H1828" s="1">
        <v>37.5</v>
      </c>
    </row>
    <row r="1829" spans="1:8" ht="21.75" customHeight="1">
      <c r="A1829" s="1" t="str">
        <f>"IN30177411526592"</f>
        <v>IN30177411526592</v>
      </c>
      <c r="B1829" s="1" t="s">
        <v>6781</v>
      </c>
      <c r="C1829" s="1" t="s">
        <v>6782</v>
      </c>
      <c r="D1829" s="1" t="s">
        <v>6516</v>
      </c>
      <c r="E1829" s="1" t="s">
        <v>745</v>
      </c>
      <c r="F1829" s="1"/>
      <c r="G1829" s="1">
        <v>250005</v>
      </c>
      <c r="H1829" s="1">
        <v>375</v>
      </c>
    </row>
    <row r="1830" spans="1:8" ht="21.75" customHeight="1">
      <c r="A1830" s="1" t="str">
        <f>"IN30205010115156"</f>
        <v>IN30205010115156</v>
      </c>
      <c r="B1830" s="1" t="s">
        <v>6783</v>
      </c>
      <c r="C1830" s="1" t="s">
        <v>6784</v>
      </c>
      <c r="D1830" s="1" t="s">
        <v>6785</v>
      </c>
      <c r="E1830" s="1" t="s">
        <v>6786</v>
      </c>
      <c r="F1830" s="1"/>
      <c r="G1830" s="1">
        <v>250110</v>
      </c>
      <c r="H1830" s="1">
        <v>75</v>
      </c>
    </row>
    <row r="1831" spans="1:8" ht="21.75" customHeight="1">
      <c r="A1831" s="1" t="str">
        <f>"1201060002391091"</f>
        <v>1201060002391091</v>
      </c>
      <c r="B1831" s="1" t="s">
        <v>6787</v>
      </c>
      <c r="C1831" s="1" t="s">
        <v>6788</v>
      </c>
      <c r="D1831" s="1" t="s">
        <v>1798</v>
      </c>
      <c r="E1831" s="1" t="s">
        <v>1798</v>
      </c>
      <c r="F1831" s="1" t="s">
        <v>6789</v>
      </c>
      <c r="G1831" s="1">
        <v>251001</v>
      </c>
      <c r="H1831" s="1">
        <v>37.5</v>
      </c>
    </row>
    <row r="1832" spans="1:8" ht="21.75" customHeight="1">
      <c r="A1832" s="1" t="str">
        <f>"IN30155720003278"</f>
        <v>IN30155720003278</v>
      </c>
      <c r="B1832" s="1" t="s">
        <v>6790</v>
      </c>
      <c r="C1832" s="1" t="s">
        <v>6791</v>
      </c>
      <c r="D1832" s="1" t="s">
        <v>6792</v>
      </c>
      <c r="E1832" s="1" t="s">
        <v>6793</v>
      </c>
      <c r="F1832" s="1"/>
      <c r="G1832" s="1">
        <v>261001</v>
      </c>
      <c r="H1832" s="1">
        <v>37.5</v>
      </c>
    </row>
    <row r="1833" spans="1:8" ht="21.75" customHeight="1">
      <c r="A1833" s="1" t="str">
        <f>"IN30177415718369"</f>
        <v>IN30177415718369</v>
      </c>
      <c r="B1833" s="1" t="s">
        <v>6794</v>
      </c>
      <c r="C1833" s="1" t="s">
        <v>6795</v>
      </c>
      <c r="D1833" s="1" t="s">
        <v>6796</v>
      </c>
      <c r="E1833" s="1" t="s">
        <v>6797</v>
      </c>
      <c r="F1833" s="1"/>
      <c r="G1833" s="1">
        <v>262001</v>
      </c>
      <c r="H1833" s="1">
        <v>52.5</v>
      </c>
    </row>
    <row r="1834" spans="1:8" ht="21.75" customHeight="1">
      <c r="A1834" s="1" t="str">
        <f>"1201910101818055"</f>
        <v>1201910101818055</v>
      </c>
      <c r="B1834" s="1" t="s">
        <v>6798</v>
      </c>
      <c r="C1834" s="1" t="s">
        <v>6799</v>
      </c>
      <c r="D1834" s="1" t="s">
        <v>6800</v>
      </c>
      <c r="E1834" s="1"/>
      <c r="F1834" s="1" t="s">
        <v>6801</v>
      </c>
      <c r="G1834" s="1">
        <v>263139</v>
      </c>
      <c r="H1834" s="1">
        <v>375</v>
      </c>
    </row>
    <row r="1835" spans="1:8" ht="21.75" customHeight="1">
      <c r="A1835" s="1" t="str">
        <f>"1203350001587941"</f>
        <v>1203350001587941</v>
      </c>
      <c r="B1835" s="1" t="s">
        <v>6802</v>
      </c>
      <c r="C1835" s="1" t="s">
        <v>6803</v>
      </c>
      <c r="D1835" s="1" t="s">
        <v>6804</v>
      </c>
      <c r="E1835" s="1" t="s">
        <v>6805</v>
      </c>
      <c r="F1835" s="1" t="s">
        <v>6801</v>
      </c>
      <c r="G1835" s="1">
        <v>263139</v>
      </c>
      <c r="H1835" s="1">
        <v>45</v>
      </c>
    </row>
    <row r="1836" spans="1:8" ht="21.75" customHeight="1">
      <c r="A1836" s="1" t="str">
        <f>"1201910100345269"</f>
        <v>1201910100345269</v>
      </c>
      <c r="B1836" s="1" t="s">
        <v>6806</v>
      </c>
      <c r="C1836" s="1" t="s">
        <v>6807</v>
      </c>
      <c r="D1836" s="1" t="s">
        <v>6635</v>
      </c>
      <c r="E1836" s="1"/>
      <c r="F1836" s="1" t="s">
        <v>6635</v>
      </c>
      <c r="G1836" s="1">
        <v>271002</v>
      </c>
      <c r="H1836" s="1">
        <v>18.75</v>
      </c>
    </row>
    <row r="1837" spans="1:8" ht="21.75" customHeight="1">
      <c r="A1837" s="1" t="str">
        <f>"1203320006088520"</f>
        <v>1203320006088520</v>
      </c>
      <c r="B1837" s="1" t="s">
        <v>6809</v>
      </c>
      <c r="C1837" s="1" t="s">
        <v>6810</v>
      </c>
      <c r="D1837" s="1" t="s">
        <v>6811</v>
      </c>
      <c r="E1837" s="1"/>
      <c r="F1837" s="1" t="s">
        <v>6808</v>
      </c>
      <c r="G1837" s="1">
        <v>272001</v>
      </c>
      <c r="H1837" s="1">
        <v>37.5</v>
      </c>
    </row>
    <row r="1838" spans="1:8" ht="21.75" customHeight="1">
      <c r="A1838" s="1" t="str">
        <f>"1204470002842465"</f>
        <v>1204470002842465</v>
      </c>
      <c r="B1838" s="1" t="s">
        <v>6812</v>
      </c>
      <c r="C1838" s="1" t="s">
        <v>6813</v>
      </c>
      <c r="D1838" s="1" t="s">
        <v>6814</v>
      </c>
      <c r="E1838" s="1" t="s">
        <v>6815</v>
      </c>
      <c r="F1838" s="1" t="s">
        <v>6816</v>
      </c>
      <c r="G1838" s="1">
        <v>272207</v>
      </c>
      <c r="H1838" s="1">
        <v>7.5</v>
      </c>
    </row>
    <row r="1839" spans="1:8" ht="21.75" customHeight="1">
      <c r="A1839" s="1" t="str">
        <f>"1201090009908788"</f>
        <v>1201090009908788</v>
      </c>
      <c r="B1839" s="1" t="s">
        <v>6817</v>
      </c>
      <c r="C1839" s="1" t="s">
        <v>6818</v>
      </c>
      <c r="D1839" s="1" t="s">
        <v>6819</v>
      </c>
      <c r="E1839" s="1" t="s">
        <v>1821</v>
      </c>
      <c r="F1839" s="1" t="s">
        <v>6820</v>
      </c>
      <c r="G1839" s="1">
        <v>274304</v>
      </c>
      <c r="H1839" s="1">
        <v>37.5</v>
      </c>
    </row>
    <row r="1840" spans="1:8" ht="21.75" customHeight="1">
      <c r="A1840" s="1" t="str">
        <f>"1206140000074098"</f>
        <v>1206140000074098</v>
      </c>
      <c r="B1840" s="1" t="s">
        <v>6821</v>
      </c>
      <c r="C1840" s="1" t="s">
        <v>6822</v>
      </c>
      <c r="D1840" s="1"/>
      <c r="E1840" s="1" t="s">
        <v>6823</v>
      </c>
      <c r="F1840" s="1" t="s">
        <v>1840</v>
      </c>
      <c r="G1840" s="1">
        <v>282001</v>
      </c>
      <c r="H1840" s="1">
        <v>37.5</v>
      </c>
    </row>
    <row r="1841" spans="1:8" ht="21.75" customHeight="1">
      <c r="A1841" s="1" t="str">
        <f>"IN30105510823930"</f>
        <v>IN30105510823930</v>
      </c>
      <c r="B1841" s="1" t="s">
        <v>6824</v>
      </c>
      <c r="C1841" s="1" t="s">
        <v>6825</v>
      </c>
      <c r="D1841" s="1" t="s">
        <v>6826</v>
      </c>
      <c r="E1841" s="1" t="s">
        <v>1840</v>
      </c>
      <c r="F1841" s="1"/>
      <c r="G1841" s="1">
        <v>282002</v>
      </c>
      <c r="H1841" s="1">
        <v>37.5</v>
      </c>
    </row>
    <row r="1842" spans="1:8" ht="21.75" customHeight="1">
      <c r="A1842" s="1" t="str">
        <f>"1201910100477490"</f>
        <v>1201910100477490</v>
      </c>
      <c r="B1842" s="1" t="s">
        <v>6827</v>
      </c>
      <c r="C1842" s="1" t="s">
        <v>6828</v>
      </c>
      <c r="D1842" s="1" t="s">
        <v>6829</v>
      </c>
      <c r="E1842" s="1" t="s">
        <v>6830</v>
      </c>
      <c r="F1842" s="1" t="s">
        <v>1840</v>
      </c>
      <c r="G1842" s="1">
        <v>282002</v>
      </c>
      <c r="H1842" s="1">
        <v>3.75</v>
      </c>
    </row>
    <row r="1843" spans="1:8" ht="21.75" customHeight="1">
      <c r="A1843" s="1" t="str">
        <f>"IN30023914174015"</f>
        <v>IN30023914174015</v>
      </c>
      <c r="B1843" s="1" t="s">
        <v>6831</v>
      </c>
      <c r="C1843" s="1" t="s">
        <v>6832</v>
      </c>
      <c r="D1843" s="1" t="s">
        <v>6691</v>
      </c>
      <c r="E1843" s="1" t="s">
        <v>6833</v>
      </c>
      <c r="F1843" s="1"/>
      <c r="G1843" s="1">
        <v>282002</v>
      </c>
      <c r="H1843" s="1">
        <v>75</v>
      </c>
    </row>
    <row r="1844" spans="1:8" ht="21.75" customHeight="1">
      <c r="A1844" s="1" t="str">
        <f>"IN30021413808819"</f>
        <v>IN30021413808819</v>
      </c>
      <c r="B1844" s="1" t="s">
        <v>6834</v>
      </c>
      <c r="C1844" s="1" t="s">
        <v>6835</v>
      </c>
      <c r="D1844" s="1" t="s">
        <v>6836</v>
      </c>
      <c r="E1844" s="1" t="s">
        <v>1840</v>
      </c>
      <c r="F1844" s="1"/>
      <c r="G1844" s="1">
        <v>282005</v>
      </c>
      <c r="H1844" s="1">
        <v>37.5</v>
      </c>
    </row>
    <row r="1845" spans="1:8" ht="21.75" customHeight="1">
      <c r="A1845" s="1" t="str">
        <f>"1203320004118002"</f>
        <v>1203320004118002</v>
      </c>
      <c r="B1845" s="1" t="s">
        <v>6837</v>
      </c>
      <c r="C1845" s="1" t="s">
        <v>6838</v>
      </c>
      <c r="D1845" s="1" t="s">
        <v>6839</v>
      </c>
      <c r="E1845" s="1" t="s">
        <v>6840</v>
      </c>
      <c r="F1845" s="1" t="s">
        <v>1840</v>
      </c>
      <c r="G1845" s="1">
        <v>283121</v>
      </c>
      <c r="H1845" s="1">
        <v>75</v>
      </c>
    </row>
    <row r="1846" spans="1:8" ht="21.75" customHeight="1">
      <c r="A1846" s="1" t="str">
        <f>"IN30051312227082"</f>
        <v>IN30051312227082</v>
      </c>
      <c r="B1846" s="1" t="s">
        <v>6841</v>
      </c>
      <c r="C1846" s="1" t="s">
        <v>6842</v>
      </c>
      <c r="D1846" s="1" t="s">
        <v>6843</v>
      </c>
      <c r="E1846" s="1" t="s">
        <v>6844</v>
      </c>
      <c r="F1846" s="1"/>
      <c r="G1846" s="1">
        <v>284001</v>
      </c>
      <c r="H1846" s="1">
        <v>75</v>
      </c>
    </row>
    <row r="1847" spans="1:8" ht="21.75" customHeight="1">
      <c r="A1847" s="1" t="str">
        <f>"1202140000085440"</f>
        <v>1202140000085440</v>
      </c>
      <c r="B1847" s="1" t="s">
        <v>6845</v>
      </c>
      <c r="C1847" s="1" t="s">
        <v>6846</v>
      </c>
      <c r="D1847" s="1"/>
      <c r="E1847" s="1"/>
      <c r="F1847" s="1" t="s">
        <v>1659</v>
      </c>
      <c r="G1847" s="1">
        <v>284002</v>
      </c>
      <c r="H1847" s="1">
        <v>37.5</v>
      </c>
    </row>
    <row r="1848" spans="1:8" ht="21.75" customHeight="1">
      <c r="A1848" s="1" t="str">
        <f>"1204370000179031"</f>
        <v>1204370000179031</v>
      </c>
      <c r="B1848" s="1" t="s">
        <v>6847</v>
      </c>
      <c r="C1848" s="1" t="s">
        <v>6848</v>
      </c>
      <c r="D1848" s="1"/>
      <c r="E1848" s="1"/>
      <c r="F1848" s="1" t="s">
        <v>6849</v>
      </c>
      <c r="G1848" s="1">
        <v>284403</v>
      </c>
      <c r="H1848" s="1">
        <v>7.5</v>
      </c>
    </row>
    <row r="1849" spans="1:8" ht="21.75" customHeight="1">
      <c r="A1849" s="1" t="str">
        <f>"IN30226910584133"</f>
        <v>IN30226910584133</v>
      </c>
      <c r="B1849" s="1" t="s">
        <v>1905</v>
      </c>
      <c r="C1849" s="1" t="s">
        <v>6850</v>
      </c>
      <c r="D1849" s="1" t="s">
        <v>6851</v>
      </c>
      <c r="E1849" s="1" t="s">
        <v>6852</v>
      </c>
      <c r="F1849" s="1"/>
      <c r="G1849" s="1">
        <v>301001</v>
      </c>
      <c r="H1849" s="1">
        <v>37.5</v>
      </c>
    </row>
    <row r="1850" spans="1:8" ht="21.75" customHeight="1">
      <c r="A1850" s="1" t="str">
        <f>"1205100000042511"</f>
        <v>1205100000042511</v>
      </c>
      <c r="B1850" s="1" t="s">
        <v>6853</v>
      </c>
      <c r="C1850" s="1" t="s">
        <v>6854</v>
      </c>
      <c r="D1850" s="1"/>
      <c r="E1850" s="1"/>
      <c r="F1850" s="1" t="s">
        <v>1824</v>
      </c>
      <c r="G1850" s="1">
        <v>301001</v>
      </c>
      <c r="H1850" s="1">
        <v>60</v>
      </c>
    </row>
    <row r="1851" spans="1:8" ht="21.75" customHeight="1">
      <c r="A1851" s="1" t="str">
        <f>"1301440004118380"</f>
        <v>1301440004118380</v>
      </c>
      <c r="B1851" s="1" t="s">
        <v>6855</v>
      </c>
      <c r="C1851" s="1" t="s">
        <v>6856</v>
      </c>
      <c r="D1851" s="1" t="s">
        <v>6857</v>
      </c>
      <c r="E1851" s="1" t="s">
        <v>6858</v>
      </c>
      <c r="F1851" s="1" t="s">
        <v>1824</v>
      </c>
      <c r="G1851" s="1">
        <v>301001</v>
      </c>
      <c r="H1851" s="1">
        <v>7.5</v>
      </c>
    </row>
    <row r="1852" spans="1:8" ht="21.75" customHeight="1">
      <c r="A1852" s="1" t="str">
        <f>"IN30429510894299"</f>
        <v>IN30429510894299</v>
      </c>
      <c r="B1852" s="1" t="s">
        <v>6859</v>
      </c>
      <c r="C1852" s="1" t="s">
        <v>6860</v>
      </c>
      <c r="D1852" s="1" t="s">
        <v>1862</v>
      </c>
      <c r="E1852" s="1" t="s">
        <v>1887</v>
      </c>
      <c r="F1852" s="1"/>
      <c r="G1852" s="1">
        <v>302001</v>
      </c>
      <c r="H1852" s="1">
        <v>1155</v>
      </c>
    </row>
    <row r="1853" spans="1:8" ht="21.75" customHeight="1">
      <c r="A1853" s="1" t="str">
        <f>"IN30177411945042"</f>
        <v>IN30177411945042</v>
      </c>
      <c r="B1853" s="1" t="s">
        <v>6861</v>
      </c>
      <c r="C1853" s="1" t="s">
        <v>6862</v>
      </c>
      <c r="D1853" s="1" t="s">
        <v>6863</v>
      </c>
      <c r="E1853" s="1" t="s">
        <v>6864</v>
      </c>
      <c r="F1853" s="1"/>
      <c r="G1853" s="1">
        <v>302004</v>
      </c>
      <c r="H1853" s="1">
        <v>37.5</v>
      </c>
    </row>
    <row r="1854" spans="1:8" ht="21.75" customHeight="1">
      <c r="A1854" s="1" t="str">
        <f>"1201770100149921"</f>
        <v>1201770100149921</v>
      </c>
      <c r="B1854" s="1" t="s">
        <v>6865</v>
      </c>
      <c r="C1854" s="1" t="s">
        <v>6866</v>
      </c>
      <c r="D1854" s="1" t="s">
        <v>6867</v>
      </c>
      <c r="E1854" s="1" t="s">
        <v>6868</v>
      </c>
      <c r="F1854" s="1" t="s">
        <v>1862</v>
      </c>
      <c r="G1854" s="1">
        <v>302004</v>
      </c>
      <c r="H1854" s="1">
        <v>1.5</v>
      </c>
    </row>
    <row r="1855" spans="1:8" ht="21.75" customHeight="1">
      <c r="A1855" s="1" t="str">
        <f>"1208870025277730"</f>
        <v>1208870025277730</v>
      </c>
      <c r="B1855" s="1" t="s">
        <v>6869</v>
      </c>
      <c r="C1855" s="1" t="s">
        <v>6870</v>
      </c>
      <c r="D1855" s="1" t="s">
        <v>6871</v>
      </c>
      <c r="E1855" s="1" t="s">
        <v>6872</v>
      </c>
      <c r="F1855" s="1" t="s">
        <v>1862</v>
      </c>
      <c r="G1855" s="1">
        <v>302017</v>
      </c>
      <c r="H1855" s="1">
        <v>10.5</v>
      </c>
    </row>
    <row r="1856" spans="1:8" ht="21.75" customHeight="1">
      <c r="A1856" s="1" t="str">
        <f>"1208160003093234"</f>
        <v>1208160003093234</v>
      </c>
      <c r="B1856" s="1" t="s">
        <v>6873</v>
      </c>
      <c r="C1856" s="1" t="s">
        <v>6874</v>
      </c>
      <c r="D1856" s="1" t="s">
        <v>6875</v>
      </c>
      <c r="E1856" s="1" t="s">
        <v>6876</v>
      </c>
      <c r="F1856" s="1" t="s">
        <v>1862</v>
      </c>
      <c r="G1856" s="1">
        <v>302018</v>
      </c>
      <c r="H1856" s="1">
        <v>75</v>
      </c>
    </row>
    <row r="1857" spans="1:8" ht="21.75" customHeight="1">
      <c r="A1857" s="1" t="str">
        <f>"1201060000698451"</f>
        <v>1201060000698451</v>
      </c>
      <c r="B1857" s="1" t="s">
        <v>6877</v>
      </c>
      <c r="C1857" s="1" t="s">
        <v>6878</v>
      </c>
      <c r="D1857" s="1" t="s">
        <v>6879</v>
      </c>
      <c r="E1857" s="1" t="s">
        <v>6880</v>
      </c>
      <c r="F1857" s="1" t="s">
        <v>1869</v>
      </c>
      <c r="G1857" s="1">
        <v>302020</v>
      </c>
      <c r="H1857" s="1">
        <v>127.5</v>
      </c>
    </row>
    <row r="1858" spans="1:8" ht="21.75" customHeight="1">
      <c r="A1858" s="1" t="str">
        <f>"IN30133021653132"</f>
        <v>IN30133021653132</v>
      </c>
      <c r="B1858" s="1" t="s">
        <v>6881</v>
      </c>
      <c r="C1858" s="1" t="s">
        <v>6882</v>
      </c>
      <c r="D1858" s="1" t="s">
        <v>6883</v>
      </c>
      <c r="E1858" s="1" t="s">
        <v>6884</v>
      </c>
      <c r="F1858" s="1"/>
      <c r="G1858" s="1">
        <v>305001</v>
      </c>
      <c r="H1858" s="1">
        <v>45</v>
      </c>
    </row>
    <row r="1859" spans="1:8" ht="21.75" customHeight="1">
      <c r="A1859" s="1" t="str">
        <f>"1201770100349811"</f>
        <v>1201770100349811</v>
      </c>
      <c r="B1859" s="1" t="s">
        <v>6885</v>
      </c>
      <c r="C1859" s="1" t="s">
        <v>6886</v>
      </c>
      <c r="D1859" s="1" t="s">
        <v>6887</v>
      </c>
      <c r="E1859" s="1"/>
      <c r="F1859" s="1" t="s">
        <v>1908</v>
      </c>
      <c r="G1859" s="1">
        <v>305001</v>
      </c>
      <c r="H1859" s="1">
        <v>15</v>
      </c>
    </row>
    <row r="1860" spans="1:8" ht="21.75" customHeight="1">
      <c r="A1860" s="1" t="str">
        <f>"IN30177410995845"</f>
        <v>IN30177410995845</v>
      </c>
      <c r="B1860" s="1" t="s">
        <v>6888</v>
      </c>
      <c r="C1860" s="1" t="s">
        <v>6889</v>
      </c>
      <c r="D1860" s="1" t="s">
        <v>6890</v>
      </c>
      <c r="E1860" s="1" t="s">
        <v>6891</v>
      </c>
      <c r="F1860" s="1"/>
      <c r="G1860" s="1">
        <v>311001</v>
      </c>
      <c r="H1860" s="1">
        <v>23.25</v>
      </c>
    </row>
    <row r="1861" spans="1:8" ht="21.75" customHeight="1">
      <c r="A1861" s="1" t="str">
        <f>"1201910101972074"</f>
        <v>1201910101972074</v>
      </c>
      <c r="B1861" s="1" t="s">
        <v>6892</v>
      </c>
      <c r="C1861" s="1" t="s">
        <v>6893</v>
      </c>
      <c r="D1861" s="1"/>
      <c r="E1861" s="1"/>
      <c r="F1861" s="1" t="s">
        <v>1925</v>
      </c>
      <c r="G1861" s="1">
        <v>311001</v>
      </c>
      <c r="H1861" s="1">
        <v>37.5</v>
      </c>
    </row>
    <row r="1862" spans="1:8" ht="21.75" customHeight="1">
      <c r="A1862" s="1" t="str">
        <f>"IN30177411081956"</f>
        <v>IN30177411081956</v>
      </c>
      <c r="B1862" s="1" t="s">
        <v>1892</v>
      </c>
      <c r="C1862" s="1" t="s">
        <v>6894</v>
      </c>
      <c r="D1862" s="1" t="s">
        <v>6895</v>
      </c>
      <c r="E1862" s="1" t="s">
        <v>150</v>
      </c>
      <c r="F1862" s="1"/>
      <c r="G1862" s="1">
        <v>311001</v>
      </c>
      <c r="H1862" s="1">
        <v>37.5</v>
      </c>
    </row>
    <row r="1863" spans="1:8" ht="21.75" customHeight="1">
      <c r="A1863" s="1" t="str">
        <f>"IN30226910801408"</f>
        <v>IN30226910801408</v>
      </c>
      <c r="B1863" s="1" t="s">
        <v>6896</v>
      </c>
      <c r="C1863" s="1" t="s">
        <v>6897</v>
      </c>
      <c r="D1863" s="1" t="s">
        <v>6898</v>
      </c>
      <c r="E1863" s="1" t="s">
        <v>1930</v>
      </c>
      <c r="F1863" s="1"/>
      <c r="G1863" s="1">
        <v>312001</v>
      </c>
      <c r="H1863" s="1">
        <v>18.75</v>
      </c>
    </row>
    <row r="1864" spans="1:8" ht="21.75" customHeight="1">
      <c r="A1864" s="1" t="str">
        <f>"1201370000273573"</f>
        <v>1201370000273573</v>
      </c>
      <c r="B1864" s="1" t="s">
        <v>6899</v>
      </c>
      <c r="C1864" s="1" t="s">
        <v>6900</v>
      </c>
      <c r="D1864" s="1" t="s">
        <v>6901</v>
      </c>
      <c r="E1864" s="1" t="s">
        <v>410</v>
      </c>
      <c r="F1864" s="1" t="s">
        <v>1942</v>
      </c>
      <c r="G1864" s="1">
        <v>313001</v>
      </c>
      <c r="H1864" s="1">
        <v>150</v>
      </c>
    </row>
    <row r="1865" spans="1:8" ht="21.75" customHeight="1">
      <c r="A1865" s="1" t="str">
        <f>"1204470006095493"</f>
        <v>1204470006095493</v>
      </c>
      <c r="B1865" s="1" t="s">
        <v>6902</v>
      </c>
      <c r="C1865" s="1" t="s">
        <v>6903</v>
      </c>
      <c r="D1865" s="1" t="s">
        <v>6904</v>
      </c>
      <c r="E1865" s="1" t="s">
        <v>6905</v>
      </c>
      <c r="F1865" s="1" t="s">
        <v>1942</v>
      </c>
      <c r="G1865" s="1">
        <v>313001</v>
      </c>
      <c r="H1865" s="1">
        <v>15</v>
      </c>
    </row>
    <row r="1866" spans="1:8" ht="21.75" customHeight="1">
      <c r="A1866" s="1" t="str">
        <f>"1204220000063100"</f>
        <v>1204220000063100</v>
      </c>
      <c r="B1866" s="1" t="s">
        <v>6906</v>
      </c>
      <c r="C1866" s="1" t="s">
        <v>6907</v>
      </c>
      <c r="D1866" s="1" t="s">
        <v>6908</v>
      </c>
      <c r="E1866" s="1" t="s">
        <v>6909</v>
      </c>
      <c r="F1866" s="1" t="s">
        <v>6910</v>
      </c>
      <c r="G1866" s="1">
        <v>314024</v>
      </c>
      <c r="H1866" s="1">
        <v>348</v>
      </c>
    </row>
    <row r="1867" spans="1:8" ht="21.75" customHeight="1">
      <c r="A1867" s="1" t="str">
        <f>"1201060500109036"</f>
        <v>1201060500109036</v>
      </c>
      <c r="B1867" s="1" t="s">
        <v>6911</v>
      </c>
      <c r="C1867" s="1" t="s">
        <v>6912</v>
      </c>
      <c r="D1867" s="1" t="s">
        <v>6913</v>
      </c>
      <c r="E1867" s="1" t="s">
        <v>6914</v>
      </c>
      <c r="F1867" s="1" t="s">
        <v>6910</v>
      </c>
      <c r="G1867" s="1">
        <v>314024</v>
      </c>
      <c r="H1867" s="1">
        <v>112.5</v>
      </c>
    </row>
    <row r="1868" spans="1:8" ht="21.75" customHeight="1">
      <c r="A1868" s="1" t="str">
        <f>"1301760000141644"</f>
        <v>1301760000141644</v>
      </c>
      <c r="B1868" s="1" t="s">
        <v>6915</v>
      </c>
      <c r="C1868" s="1" t="s">
        <v>6916</v>
      </c>
      <c r="D1868" s="1" t="s">
        <v>6917</v>
      </c>
      <c r="E1868" s="1" t="s">
        <v>6918</v>
      </c>
      <c r="F1868" s="1" t="s">
        <v>6919</v>
      </c>
      <c r="G1868" s="1">
        <v>322201</v>
      </c>
      <c r="H1868" s="1">
        <v>18.75</v>
      </c>
    </row>
    <row r="1869" spans="1:8" ht="21.75" customHeight="1">
      <c r="A1869" s="1" t="str">
        <f>"IN30105510785693"</f>
        <v>IN30105510785693</v>
      </c>
      <c r="B1869" s="1" t="s">
        <v>6921</v>
      </c>
      <c r="C1869" s="1" t="s">
        <v>6922</v>
      </c>
      <c r="D1869" s="1" t="s">
        <v>6923</v>
      </c>
      <c r="E1869" s="1" t="s">
        <v>6920</v>
      </c>
      <c r="F1869" s="1"/>
      <c r="G1869" s="1">
        <v>323001</v>
      </c>
      <c r="H1869" s="1">
        <v>15</v>
      </c>
    </row>
    <row r="1870" spans="1:8" ht="21.75" customHeight="1">
      <c r="A1870" s="1" t="str">
        <f>"1203350000662261"</f>
        <v>1203350000662261</v>
      </c>
      <c r="B1870" s="1" t="s">
        <v>6924</v>
      </c>
      <c r="C1870" s="1" t="s">
        <v>6925</v>
      </c>
      <c r="D1870" s="1" t="s">
        <v>6926</v>
      </c>
      <c r="E1870" s="1" t="s">
        <v>1976</v>
      </c>
      <c r="F1870" s="1" t="s">
        <v>1930</v>
      </c>
      <c r="G1870" s="1">
        <v>323307</v>
      </c>
      <c r="H1870" s="1">
        <v>375</v>
      </c>
    </row>
    <row r="1871" spans="1:8" ht="21.75" customHeight="1">
      <c r="A1871" s="1" t="str">
        <f>"1202470000198124"</f>
        <v>1202470000198124</v>
      </c>
      <c r="B1871" s="1" t="s">
        <v>6927</v>
      </c>
      <c r="C1871" s="1" t="s">
        <v>6928</v>
      </c>
      <c r="D1871" s="1" t="s">
        <v>6929</v>
      </c>
      <c r="E1871" s="1" t="s">
        <v>6930</v>
      </c>
      <c r="F1871" s="1" t="s">
        <v>155</v>
      </c>
      <c r="G1871" s="1">
        <v>324001</v>
      </c>
      <c r="H1871" s="1">
        <v>75</v>
      </c>
    </row>
    <row r="1872" spans="1:8" ht="21.75" customHeight="1">
      <c r="A1872" s="1" t="str">
        <f>"1301760000075755"</f>
        <v>1301760000075755</v>
      </c>
      <c r="B1872" s="1" t="s">
        <v>6931</v>
      </c>
      <c r="C1872" s="1" t="s">
        <v>6932</v>
      </c>
      <c r="D1872" s="1" t="s">
        <v>6933</v>
      </c>
      <c r="E1872" s="1"/>
      <c r="F1872" s="1" t="s">
        <v>155</v>
      </c>
      <c r="G1872" s="1">
        <v>324005</v>
      </c>
      <c r="H1872" s="1">
        <v>150</v>
      </c>
    </row>
    <row r="1873" spans="1:8" ht="21.75" customHeight="1">
      <c r="A1873" s="1" t="str">
        <f>"1301760000244325"</f>
        <v>1301760000244325</v>
      </c>
      <c r="B1873" s="1" t="s">
        <v>6934</v>
      </c>
      <c r="C1873" s="1" t="s">
        <v>6935</v>
      </c>
      <c r="D1873" s="1" t="s">
        <v>6936</v>
      </c>
      <c r="E1873" s="1" t="s">
        <v>1995</v>
      </c>
      <c r="F1873" s="1" t="s">
        <v>1995</v>
      </c>
      <c r="G1873" s="1">
        <v>327001</v>
      </c>
      <c r="H1873" s="1">
        <v>32.25</v>
      </c>
    </row>
    <row r="1874" spans="1:8" ht="21.75" customHeight="1">
      <c r="A1874" s="1" t="str">
        <f>"1206590000008737"</f>
        <v>1206590000008737</v>
      </c>
      <c r="B1874" s="1" t="s">
        <v>6937</v>
      </c>
      <c r="C1874" s="1" t="s">
        <v>6938</v>
      </c>
      <c r="D1874" s="1" t="s">
        <v>6939</v>
      </c>
      <c r="E1874" s="1" t="s">
        <v>6940</v>
      </c>
      <c r="F1874" s="1" t="s">
        <v>2006</v>
      </c>
      <c r="G1874" s="1">
        <v>331022</v>
      </c>
      <c r="H1874" s="1">
        <v>37.5</v>
      </c>
    </row>
    <row r="1875" spans="1:8" ht="21.75" customHeight="1">
      <c r="A1875" s="1" t="str">
        <f>"IN30226911099329"</f>
        <v>IN30226911099329</v>
      </c>
      <c r="B1875" s="1" t="s">
        <v>6941</v>
      </c>
      <c r="C1875" s="1" t="s">
        <v>6942</v>
      </c>
      <c r="D1875" s="1" t="s">
        <v>6943</v>
      </c>
      <c r="E1875" s="1" t="s">
        <v>6944</v>
      </c>
      <c r="F1875" s="1"/>
      <c r="G1875" s="1">
        <v>332001</v>
      </c>
      <c r="H1875" s="1">
        <v>7.5</v>
      </c>
    </row>
    <row r="1876" spans="1:8" ht="21.75" customHeight="1">
      <c r="A1876" s="1" t="str">
        <f>"IN30023911136284"</f>
        <v>IN30023911136284</v>
      </c>
      <c r="B1876" s="1" t="s">
        <v>6945</v>
      </c>
      <c r="C1876" s="1" t="s">
        <v>6946</v>
      </c>
      <c r="D1876" s="1" t="s">
        <v>6947</v>
      </c>
      <c r="E1876" s="1" t="s">
        <v>6948</v>
      </c>
      <c r="F1876" s="1"/>
      <c r="G1876" s="1">
        <v>332001</v>
      </c>
      <c r="H1876" s="1">
        <v>60</v>
      </c>
    </row>
    <row r="1877" spans="1:8" ht="21.75" customHeight="1">
      <c r="A1877" s="1" t="str">
        <f>"1201060500349951"</f>
        <v>1201060500349951</v>
      </c>
      <c r="B1877" s="1" t="s">
        <v>6949</v>
      </c>
      <c r="C1877" s="1" t="s">
        <v>6950</v>
      </c>
      <c r="D1877" s="1" t="s">
        <v>6951</v>
      </c>
      <c r="E1877" s="1" t="s">
        <v>6952</v>
      </c>
      <c r="F1877" s="1" t="s">
        <v>2013</v>
      </c>
      <c r="G1877" s="1">
        <v>332301</v>
      </c>
      <c r="H1877" s="1">
        <v>150</v>
      </c>
    </row>
    <row r="1878" spans="1:8" ht="21.75" customHeight="1">
      <c r="A1878" s="1" t="str">
        <f>"1208250025581567"</f>
        <v>1208250025581567</v>
      </c>
      <c r="B1878" s="1" t="s">
        <v>6953</v>
      </c>
      <c r="C1878" s="1" t="s">
        <v>6954</v>
      </c>
      <c r="D1878" s="1" t="s">
        <v>6955</v>
      </c>
      <c r="E1878" s="1"/>
      <c r="F1878" s="1" t="s">
        <v>2020</v>
      </c>
      <c r="G1878" s="1">
        <v>333023</v>
      </c>
      <c r="H1878" s="1">
        <v>7.5</v>
      </c>
    </row>
    <row r="1879" spans="1:8" ht="21.75" customHeight="1">
      <c r="A1879" s="1" t="str">
        <f>"1203350001323281"</f>
        <v>1203350001323281</v>
      </c>
      <c r="B1879" s="1" t="s">
        <v>6956</v>
      </c>
      <c r="C1879" s="1" t="s">
        <v>6957</v>
      </c>
      <c r="D1879" s="1" t="s">
        <v>6958</v>
      </c>
      <c r="E1879" s="1" t="s">
        <v>410</v>
      </c>
      <c r="F1879" s="1" t="s">
        <v>2020</v>
      </c>
      <c r="G1879" s="1">
        <v>333029</v>
      </c>
      <c r="H1879" s="1">
        <v>26.25</v>
      </c>
    </row>
    <row r="1880" spans="1:8" ht="21.75" customHeight="1">
      <c r="A1880" s="1" t="str">
        <f>"IN30007910370415"</f>
        <v>IN30007910370415</v>
      </c>
      <c r="B1880" s="1" t="s">
        <v>6959</v>
      </c>
      <c r="C1880" s="1" t="s">
        <v>6960</v>
      </c>
      <c r="D1880" s="1" t="s">
        <v>6961</v>
      </c>
      <c r="E1880" s="1" t="s">
        <v>6962</v>
      </c>
      <c r="F1880" s="1"/>
      <c r="G1880" s="1">
        <v>334001</v>
      </c>
      <c r="H1880" s="1">
        <v>37.5</v>
      </c>
    </row>
    <row r="1881" spans="1:8" ht="21.75" customHeight="1">
      <c r="A1881" s="1" t="str">
        <f>"IN30051312741597"</f>
        <v>IN30051312741597</v>
      </c>
      <c r="B1881" s="1" t="s">
        <v>6963</v>
      </c>
      <c r="C1881" s="1" t="s">
        <v>6964</v>
      </c>
      <c r="D1881" s="1"/>
      <c r="E1881" s="1" t="s">
        <v>2031</v>
      </c>
      <c r="F1881" s="1"/>
      <c r="G1881" s="1">
        <v>334001</v>
      </c>
      <c r="H1881" s="1">
        <v>112.5</v>
      </c>
    </row>
    <row r="1882" spans="1:8" ht="21.75" customHeight="1">
      <c r="A1882" s="1" t="str">
        <f>"1204720010628461"</f>
        <v>1204720010628461</v>
      </c>
      <c r="B1882" s="1" t="s">
        <v>6965</v>
      </c>
      <c r="C1882" s="1" t="s">
        <v>6966</v>
      </c>
      <c r="D1882" s="1" t="s">
        <v>6967</v>
      </c>
      <c r="E1882" s="1" t="s">
        <v>410</v>
      </c>
      <c r="F1882" s="1" t="s">
        <v>2031</v>
      </c>
      <c r="G1882" s="1">
        <v>334003</v>
      </c>
      <c r="H1882" s="1">
        <v>3.75</v>
      </c>
    </row>
    <row r="1883" spans="1:8" ht="21.75" customHeight="1">
      <c r="A1883" s="1" t="str">
        <f>"1203600000994339"</f>
        <v>1203600000994339</v>
      </c>
      <c r="B1883" s="1" t="s">
        <v>6968</v>
      </c>
      <c r="C1883" s="1" t="s">
        <v>6969</v>
      </c>
      <c r="D1883" s="1" t="s">
        <v>6970</v>
      </c>
      <c r="E1883" s="1"/>
      <c r="F1883" s="1" t="s">
        <v>2031</v>
      </c>
      <c r="G1883" s="1">
        <v>334005</v>
      </c>
      <c r="H1883" s="1">
        <v>375</v>
      </c>
    </row>
    <row r="1884" spans="1:8" ht="21.75" customHeight="1">
      <c r="A1884" s="1" t="str">
        <f>"1202420000578950"</f>
        <v>1202420000578950</v>
      </c>
      <c r="B1884" s="1" t="s">
        <v>4088</v>
      </c>
      <c r="C1884" s="1">
        <v>25</v>
      </c>
      <c r="D1884" s="1" t="s">
        <v>6971</v>
      </c>
      <c r="E1884" s="1" t="s">
        <v>6972</v>
      </c>
      <c r="F1884" s="1" t="s">
        <v>2040</v>
      </c>
      <c r="G1884" s="1">
        <v>335001</v>
      </c>
      <c r="H1884" s="1">
        <v>97.5</v>
      </c>
    </row>
    <row r="1885" spans="1:8" ht="21.75" customHeight="1">
      <c r="A1885" s="1" t="str">
        <f>"1201210100503887"</f>
        <v>1201210100503887</v>
      </c>
      <c r="B1885" s="1" t="s">
        <v>6973</v>
      </c>
      <c r="C1885" s="1" t="s">
        <v>6973</v>
      </c>
      <c r="D1885" s="1" t="s">
        <v>6974</v>
      </c>
      <c r="E1885" s="1" t="s">
        <v>6975</v>
      </c>
      <c r="F1885" s="1" t="s">
        <v>6976</v>
      </c>
      <c r="G1885" s="1">
        <v>335513</v>
      </c>
      <c r="H1885" s="1">
        <v>37.5</v>
      </c>
    </row>
    <row r="1886" spans="1:8" ht="21.75" customHeight="1">
      <c r="A1886" s="1" t="str">
        <f>"IN30051312452195"</f>
        <v>IN30051312452195</v>
      </c>
      <c r="B1886" s="1" t="s">
        <v>1373</v>
      </c>
      <c r="C1886" s="1" t="s">
        <v>6977</v>
      </c>
      <c r="D1886" s="1" t="s">
        <v>6978</v>
      </c>
      <c r="E1886" s="1" t="s">
        <v>6979</v>
      </c>
      <c r="F1886" s="1"/>
      <c r="G1886" s="1">
        <v>342001</v>
      </c>
      <c r="H1886" s="1">
        <v>75</v>
      </c>
    </row>
    <row r="1887" spans="1:8" ht="21.75" customHeight="1">
      <c r="A1887" s="1" t="str">
        <f>"IN30018312444245"</f>
        <v>IN30018312444245</v>
      </c>
      <c r="B1887" s="1" t="s">
        <v>6980</v>
      </c>
      <c r="C1887" s="1" t="s">
        <v>6981</v>
      </c>
      <c r="D1887" s="1" t="s">
        <v>6982</v>
      </c>
      <c r="E1887" s="1" t="s">
        <v>2060</v>
      </c>
      <c r="F1887" s="1"/>
      <c r="G1887" s="1">
        <v>342001</v>
      </c>
      <c r="H1887" s="1">
        <v>22.5</v>
      </c>
    </row>
    <row r="1888" spans="1:8" ht="21.75" customHeight="1">
      <c r="A1888" s="1" t="str">
        <f>"1208160065106281"</f>
        <v>1208160065106281</v>
      </c>
      <c r="B1888" s="1" t="s">
        <v>6983</v>
      </c>
      <c r="C1888" s="1" t="s">
        <v>6984</v>
      </c>
      <c r="D1888" s="1" t="s">
        <v>6985</v>
      </c>
      <c r="E1888" s="1"/>
      <c r="F1888" s="1" t="s">
        <v>2060</v>
      </c>
      <c r="G1888" s="1">
        <v>342006</v>
      </c>
      <c r="H1888" s="1">
        <v>7.5</v>
      </c>
    </row>
    <row r="1889" spans="1:8" ht="21.75" customHeight="1">
      <c r="A1889" s="1" t="str">
        <f>"1201090003705516"</f>
        <v>1201090003705516</v>
      </c>
      <c r="B1889" s="1" t="s">
        <v>6986</v>
      </c>
      <c r="C1889" s="1" t="s">
        <v>6987</v>
      </c>
      <c r="D1889" s="1" t="s">
        <v>6988</v>
      </c>
      <c r="E1889" s="1" t="s">
        <v>6989</v>
      </c>
      <c r="F1889" s="1" t="s">
        <v>2060</v>
      </c>
      <c r="G1889" s="1">
        <v>342010</v>
      </c>
      <c r="H1889" s="1">
        <v>0.75</v>
      </c>
    </row>
    <row r="1890" spans="1:8" ht="21.75" customHeight="1">
      <c r="A1890" s="1" t="str">
        <f>"1204470004110551"</f>
        <v>1204470004110551</v>
      </c>
      <c r="B1890" s="1" t="s">
        <v>6990</v>
      </c>
      <c r="C1890" s="1" t="s">
        <v>6991</v>
      </c>
      <c r="D1890" s="1" t="s">
        <v>6992</v>
      </c>
      <c r="E1890" s="1"/>
      <c r="F1890" s="1" t="s">
        <v>6993</v>
      </c>
      <c r="G1890" s="1">
        <v>342902</v>
      </c>
      <c r="H1890" s="1">
        <v>22.5</v>
      </c>
    </row>
    <row r="1891" spans="1:8" ht="21.75" customHeight="1">
      <c r="A1891" s="1" t="str">
        <f>"IN30311610454256"</f>
        <v>IN30311610454256</v>
      </c>
      <c r="B1891" s="1" t="s">
        <v>6994</v>
      </c>
      <c r="C1891" s="1" t="s">
        <v>6995</v>
      </c>
      <c r="D1891" s="1" t="s">
        <v>6996</v>
      </c>
      <c r="E1891" s="1" t="s">
        <v>6997</v>
      </c>
      <c r="F1891" s="1"/>
      <c r="G1891" s="1">
        <v>344001</v>
      </c>
      <c r="H1891" s="1">
        <v>37.5</v>
      </c>
    </row>
    <row r="1892" spans="1:8" ht="21.75" customHeight="1">
      <c r="A1892" s="1" t="str">
        <f>"1201800000197282"</f>
        <v>1201800000197282</v>
      </c>
      <c r="B1892" s="1" t="s">
        <v>6998</v>
      </c>
      <c r="C1892" s="1" t="s">
        <v>6999</v>
      </c>
      <c r="D1892" s="1" t="s">
        <v>7000</v>
      </c>
      <c r="E1892" s="1"/>
      <c r="F1892" s="1" t="s">
        <v>2085</v>
      </c>
      <c r="G1892" s="1">
        <v>360001</v>
      </c>
      <c r="H1892" s="1">
        <v>18.75</v>
      </c>
    </row>
    <row r="1893" spans="1:8" ht="21.75" customHeight="1">
      <c r="A1893" s="1" t="str">
        <f>"IN30097410242525"</f>
        <v>IN30097410242525</v>
      </c>
      <c r="B1893" s="1" t="s">
        <v>7001</v>
      </c>
      <c r="C1893" s="1" t="s">
        <v>7002</v>
      </c>
      <c r="D1893" s="1" t="s">
        <v>7003</v>
      </c>
      <c r="E1893" s="1" t="s">
        <v>7004</v>
      </c>
      <c r="F1893" s="1"/>
      <c r="G1893" s="1">
        <v>360001</v>
      </c>
      <c r="H1893" s="1">
        <v>7.5</v>
      </c>
    </row>
    <row r="1894" spans="1:8" ht="21.75" customHeight="1">
      <c r="A1894" s="1" t="str">
        <f>"IN30305210548306"</f>
        <v>IN30305210548306</v>
      </c>
      <c r="B1894" s="1" t="s">
        <v>7005</v>
      </c>
      <c r="C1894" s="1" t="s">
        <v>6516</v>
      </c>
      <c r="D1894" s="1" t="s">
        <v>7006</v>
      </c>
      <c r="E1894" s="1" t="s">
        <v>2085</v>
      </c>
      <c r="F1894" s="1"/>
      <c r="G1894" s="1">
        <v>360005</v>
      </c>
      <c r="H1894" s="1">
        <v>667.5</v>
      </c>
    </row>
    <row r="1895" spans="1:8" ht="21.75" customHeight="1">
      <c r="A1895" s="1" t="str">
        <f>"1205910000115074"</f>
        <v>1205910000115074</v>
      </c>
      <c r="B1895" s="1" t="s">
        <v>7007</v>
      </c>
      <c r="C1895" s="1" t="s">
        <v>7008</v>
      </c>
      <c r="D1895" s="1" t="s">
        <v>7009</v>
      </c>
      <c r="E1895" s="1" t="s">
        <v>7010</v>
      </c>
      <c r="F1895" s="1" t="s">
        <v>2085</v>
      </c>
      <c r="G1895" s="1">
        <v>360007</v>
      </c>
      <c r="H1895" s="1">
        <v>93.75</v>
      </c>
    </row>
    <row r="1896" spans="1:8" ht="21.75" customHeight="1">
      <c r="A1896" s="1" t="str">
        <f>"IN30097411655364"</f>
        <v>IN30097411655364</v>
      </c>
      <c r="B1896" s="1" t="s">
        <v>7011</v>
      </c>
      <c r="C1896" s="1" t="s">
        <v>7012</v>
      </c>
      <c r="D1896" s="1" t="s">
        <v>7013</v>
      </c>
      <c r="E1896" s="1" t="s">
        <v>7014</v>
      </c>
      <c r="F1896" s="1"/>
      <c r="G1896" s="1">
        <v>360007</v>
      </c>
      <c r="H1896" s="1">
        <v>30</v>
      </c>
    </row>
    <row r="1897" spans="1:8" ht="21.75" customHeight="1">
      <c r="A1897" s="1" t="str">
        <f>"IN30021434947778"</f>
        <v>IN30021434947778</v>
      </c>
      <c r="B1897" s="1" t="s">
        <v>7015</v>
      </c>
      <c r="C1897" s="1" t="s">
        <v>7016</v>
      </c>
      <c r="D1897" s="1" t="s">
        <v>7017</v>
      </c>
      <c r="E1897" s="1" t="s">
        <v>7018</v>
      </c>
      <c r="F1897" s="1"/>
      <c r="G1897" s="1">
        <v>360007</v>
      </c>
      <c r="H1897" s="1">
        <v>0.75</v>
      </c>
    </row>
    <row r="1898" spans="1:8" ht="21.75" customHeight="1">
      <c r="A1898" s="1" t="str">
        <f>"1204720011122758"</f>
        <v>1204720011122758</v>
      </c>
      <c r="B1898" s="1" t="s">
        <v>7019</v>
      </c>
      <c r="C1898" s="1" t="s">
        <v>7020</v>
      </c>
      <c r="D1898" s="1" t="s">
        <v>7021</v>
      </c>
      <c r="E1898" s="1" t="s">
        <v>7022</v>
      </c>
      <c r="F1898" s="1" t="s">
        <v>2093</v>
      </c>
      <c r="G1898" s="1">
        <v>361001</v>
      </c>
      <c r="H1898" s="1">
        <v>1.5</v>
      </c>
    </row>
    <row r="1899" spans="1:8" ht="21.75" customHeight="1">
      <c r="A1899" s="1" t="str">
        <f>"IN30039417125826"</f>
        <v>IN30039417125826</v>
      </c>
      <c r="B1899" s="1" t="s">
        <v>7023</v>
      </c>
      <c r="C1899" s="1" t="s">
        <v>7024</v>
      </c>
      <c r="D1899" s="1" t="s">
        <v>7025</v>
      </c>
      <c r="E1899" s="1" t="s">
        <v>7026</v>
      </c>
      <c r="F1899" s="1"/>
      <c r="G1899" s="1">
        <v>361001</v>
      </c>
      <c r="H1899" s="1">
        <v>45</v>
      </c>
    </row>
    <row r="1900" spans="1:8" ht="21.75" customHeight="1">
      <c r="A1900" s="1" t="str">
        <f>"IN30097411702076"</f>
        <v>IN30097411702076</v>
      </c>
      <c r="B1900" s="1" t="s">
        <v>7027</v>
      </c>
      <c r="C1900" s="1" t="s">
        <v>7028</v>
      </c>
      <c r="D1900" s="1" t="s">
        <v>7029</v>
      </c>
      <c r="E1900" s="1" t="s">
        <v>7030</v>
      </c>
      <c r="F1900" s="1"/>
      <c r="G1900" s="1">
        <v>361002</v>
      </c>
      <c r="H1900" s="1">
        <v>18.75</v>
      </c>
    </row>
    <row r="1901" spans="1:8" ht="21.75" customHeight="1">
      <c r="A1901" s="1" t="str">
        <f>"IN30097411596843"</f>
        <v>IN30097411596843</v>
      </c>
      <c r="B1901" s="1" t="s">
        <v>7031</v>
      </c>
      <c r="C1901" s="1" t="s">
        <v>7032</v>
      </c>
      <c r="D1901" s="1" t="s">
        <v>7033</v>
      </c>
      <c r="E1901" s="1" t="s">
        <v>7034</v>
      </c>
      <c r="F1901" s="1"/>
      <c r="G1901" s="1">
        <v>361008</v>
      </c>
      <c r="H1901" s="1">
        <v>18.75</v>
      </c>
    </row>
    <row r="1902" spans="1:8" ht="21.75" customHeight="1">
      <c r="A1902" s="1" t="str">
        <f>"IN30051319538896"</f>
        <v>IN30051319538896</v>
      </c>
      <c r="B1902" s="1" t="s">
        <v>7035</v>
      </c>
      <c r="C1902" s="1" t="s">
        <v>7036</v>
      </c>
      <c r="D1902" s="1" t="s">
        <v>7037</v>
      </c>
      <c r="E1902" s="1" t="s">
        <v>7038</v>
      </c>
      <c r="F1902" s="1"/>
      <c r="G1902" s="1">
        <v>362001</v>
      </c>
      <c r="H1902" s="1">
        <v>23.25</v>
      </c>
    </row>
    <row r="1903" spans="1:8" ht="21.75" customHeight="1">
      <c r="A1903" s="1" t="str">
        <f>"1203320001071448"</f>
        <v>1203320001071448</v>
      </c>
      <c r="B1903" s="1" t="s">
        <v>7039</v>
      </c>
      <c r="C1903" s="1" t="s">
        <v>7040</v>
      </c>
      <c r="D1903" s="1"/>
      <c r="E1903" s="1"/>
      <c r="F1903" s="1" t="s">
        <v>7041</v>
      </c>
      <c r="G1903" s="1">
        <v>362150</v>
      </c>
      <c r="H1903" s="1">
        <v>1.5</v>
      </c>
    </row>
    <row r="1904" spans="1:8" ht="21.75" customHeight="1">
      <c r="A1904" s="1" t="str">
        <f>"1202990004092504"</f>
        <v>1202990004092504</v>
      </c>
      <c r="B1904" s="1" t="s">
        <v>7042</v>
      </c>
      <c r="C1904" s="1" t="s">
        <v>7043</v>
      </c>
      <c r="D1904" s="1" t="s">
        <v>7044</v>
      </c>
      <c r="E1904" s="1"/>
      <c r="F1904" s="1" t="s">
        <v>160</v>
      </c>
      <c r="G1904" s="1">
        <v>364001</v>
      </c>
      <c r="H1904" s="1">
        <v>73.5</v>
      </c>
    </row>
    <row r="1905" spans="1:8" ht="21.75" customHeight="1">
      <c r="A1905" s="1" t="str">
        <f>"IN30097411324653"</f>
        <v>IN30097411324653</v>
      </c>
      <c r="B1905" s="1" t="s">
        <v>7045</v>
      </c>
      <c r="C1905" s="1" t="s">
        <v>7046</v>
      </c>
      <c r="D1905" s="1" t="s">
        <v>7047</v>
      </c>
      <c r="E1905" s="1" t="s">
        <v>7048</v>
      </c>
      <c r="F1905" s="1"/>
      <c r="G1905" s="1">
        <v>364001</v>
      </c>
      <c r="H1905" s="1">
        <v>262.5</v>
      </c>
    </row>
    <row r="1906" spans="1:8" ht="21.75" customHeight="1">
      <c r="A1906" s="1" t="str">
        <f>"IN30051317015728"</f>
        <v>IN30051317015728</v>
      </c>
      <c r="B1906" s="1" t="s">
        <v>7049</v>
      </c>
      <c r="C1906" s="1" t="s">
        <v>7050</v>
      </c>
      <c r="D1906" s="1" t="s">
        <v>7051</v>
      </c>
      <c r="E1906" s="1" t="s">
        <v>7052</v>
      </c>
      <c r="F1906" s="1"/>
      <c r="G1906" s="1">
        <v>364002</v>
      </c>
      <c r="H1906" s="1">
        <v>150</v>
      </c>
    </row>
    <row r="1907" spans="1:8" ht="21.75" customHeight="1">
      <c r="A1907" s="1" t="str">
        <f>"IN30373510018375"</f>
        <v>IN30373510018375</v>
      </c>
      <c r="B1907" s="1" t="s">
        <v>7053</v>
      </c>
      <c r="C1907" s="1" t="s">
        <v>7054</v>
      </c>
      <c r="D1907" s="1"/>
      <c r="E1907" s="1" t="s">
        <v>2128</v>
      </c>
      <c r="F1907" s="1"/>
      <c r="G1907" s="1">
        <v>364002</v>
      </c>
      <c r="H1907" s="1">
        <v>63.75</v>
      </c>
    </row>
    <row r="1908" spans="1:8" ht="21.75" customHeight="1">
      <c r="A1908" s="1" t="str">
        <f>"IN30305210197836"</f>
        <v>IN30305210197836</v>
      </c>
      <c r="B1908" s="1" t="s">
        <v>7055</v>
      </c>
      <c r="C1908" s="1" t="s">
        <v>7056</v>
      </c>
      <c r="D1908" s="1" t="s">
        <v>7057</v>
      </c>
      <c r="E1908" s="1" t="s">
        <v>160</v>
      </c>
      <c r="F1908" s="1"/>
      <c r="G1908" s="1">
        <v>364003</v>
      </c>
      <c r="H1908" s="1">
        <v>75</v>
      </c>
    </row>
    <row r="1909" spans="1:8" ht="21.75" customHeight="1">
      <c r="A1909" s="1" t="str">
        <f>"IN30039412888519"</f>
        <v>IN30039412888519</v>
      </c>
      <c r="B1909" s="1" t="s">
        <v>7058</v>
      </c>
      <c r="C1909" s="1" t="s">
        <v>7059</v>
      </c>
      <c r="D1909" s="1" t="s">
        <v>7060</v>
      </c>
      <c r="E1909" s="1" t="s">
        <v>7061</v>
      </c>
      <c r="F1909" s="1"/>
      <c r="G1909" s="1">
        <v>364003</v>
      </c>
      <c r="H1909" s="1">
        <v>37.5</v>
      </c>
    </row>
    <row r="1910" spans="1:8" ht="21.75" customHeight="1">
      <c r="A1910" s="1" t="str">
        <f>"IN30226912678329"</f>
        <v>IN30226912678329</v>
      </c>
      <c r="B1910" s="1" t="s">
        <v>7062</v>
      </c>
      <c r="C1910" s="1" t="s">
        <v>7063</v>
      </c>
      <c r="D1910" s="1" t="s">
        <v>7064</v>
      </c>
      <c r="E1910" s="1" t="s">
        <v>7065</v>
      </c>
      <c r="F1910" s="1"/>
      <c r="G1910" s="1">
        <v>364710</v>
      </c>
      <c r="H1910" s="1">
        <v>18.75</v>
      </c>
    </row>
    <row r="1911" spans="1:8" ht="21.75" customHeight="1">
      <c r="A1911" s="1" t="str">
        <f>"1201320001057418"</f>
        <v>1201320001057418</v>
      </c>
      <c r="B1911" s="1" t="s">
        <v>7066</v>
      </c>
      <c r="C1911" s="1" t="s">
        <v>7067</v>
      </c>
      <c r="D1911" s="1" t="s">
        <v>7068</v>
      </c>
      <c r="E1911" s="1"/>
      <c r="F1911" s="1" t="s">
        <v>7069</v>
      </c>
      <c r="G1911" s="1">
        <v>365560</v>
      </c>
      <c r="H1911" s="1">
        <v>5.25</v>
      </c>
    </row>
    <row r="1912" spans="1:8" ht="21.75" customHeight="1">
      <c r="A1912" s="1" t="str">
        <f>"IN30034311173832"</f>
        <v>IN30034311173832</v>
      </c>
      <c r="B1912" s="1" t="s">
        <v>7070</v>
      </c>
      <c r="C1912" s="1" t="s">
        <v>7071</v>
      </c>
      <c r="D1912" s="1" t="s">
        <v>7072</v>
      </c>
      <c r="E1912" s="1" t="s">
        <v>7073</v>
      </c>
      <c r="F1912" s="1"/>
      <c r="G1912" s="1">
        <v>370110</v>
      </c>
      <c r="H1912" s="1">
        <v>75</v>
      </c>
    </row>
    <row r="1913" spans="1:8" ht="21.75" customHeight="1">
      <c r="A1913" s="1" t="str">
        <f>"1201330000727408"</f>
        <v>1201330000727408</v>
      </c>
      <c r="B1913" s="1" t="s">
        <v>7074</v>
      </c>
      <c r="C1913" s="1" t="s">
        <v>7075</v>
      </c>
      <c r="D1913" s="1" t="s">
        <v>7076</v>
      </c>
      <c r="E1913" s="1" t="s">
        <v>7077</v>
      </c>
      <c r="F1913" s="1" t="s">
        <v>7077</v>
      </c>
      <c r="G1913" s="1">
        <v>370201</v>
      </c>
      <c r="H1913" s="1">
        <v>45</v>
      </c>
    </row>
    <row r="1914" spans="1:8" ht="21.75" customHeight="1">
      <c r="A1914" s="1" t="str">
        <f>"IN30097410593965"</f>
        <v>IN30097410593965</v>
      </c>
      <c r="B1914" s="1" t="s">
        <v>7078</v>
      </c>
      <c r="C1914" s="1" t="s">
        <v>7079</v>
      </c>
      <c r="D1914" s="1" t="s">
        <v>7080</v>
      </c>
      <c r="E1914" s="1" t="s">
        <v>7081</v>
      </c>
      <c r="F1914" s="1"/>
      <c r="G1914" s="1">
        <v>370205</v>
      </c>
      <c r="H1914" s="1">
        <v>18.75</v>
      </c>
    </row>
    <row r="1915" spans="1:8" ht="21.75" customHeight="1">
      <c r="A1915" s="1" t="str">
        <f>"IN30305210763570"</f>
        <v>IN30305210763570</v>
      </c>
      <c r="B1915" s="1" t="s">
        <v>7082</v>
      </c>
      <c r="C1915" s="1" t="s">
        <v>7083</v>
      </c>
      <c r="D1915" s="1" t="s">
        <v>7084</v>
      </c>
      <c r="E1915" s="1" t="s">
        <v>7085</v>
      </c>
      <c r="F1915" s="1"/>
      <c r="G1915" s="1">
        <v>380004</v>
      </c>
      <c r="H1915" s="1">
        <v>22.5</v>
      </c>
    </row>
    <row r="1916" spans="1:8" ht="21.75" customHeight="1">
      <c r="A1916" s="1" t="str">
        <f>"IN30305210057482"</f>
        <v>IN30305210057482</v>
      </c>
      <c r="B1916" s="1" t="s">
        <v>7086</v>
      </c>
      <c r="C1916" s="1" t="s">
        <v>7087</v>
      </c>
      <c r="D1916" s="1" t="s">
        <v>7088</v>
      </c>
      <c r="E1916" s="1" t="s">
        <v>7089</v>
      </c>
      <c r="F1916" s="1"/>
      <c r="G1916" s="1">
        <v>380007</v>
      </c>
      <c r="H1916" s="1">
        <v>39</v>
      </c>
    </row>
    <row r="1917" spans="1:8" ht="21.75" customHeight="1">
      <c r="A1917" s="1" t="str">
        <f>"1203230000017661"</f>
        <v>1203230000017661</v>
      </c>
      <c r="B1917" s="1" t="s">
        <v>7090</v>
      </c>
      <c r="C1917" s="1" t="s">
        <v>7091</v>
      </c>
      <c r="D1917" s="1" t="s">
        <v>7092</v>
      </c>
      <c r="E1917" s="1"/>
      <c r="F1917" s="1" t="s">
        <v>7093</v>
      </c>
      <c r="G1917" s="1">
        <v>380013</v>
      </c>
      <c r="H1917" s="1">
        <v>18.75</v>
      </c>
    </row>
    <row r="1918" spans="1:8" ht="21.75" customHeight="1">
      <c r="A1918" s="1" t="str">
        <f>"IN30034310296118"</f>
        <v>IN30034310296118</v>
      </c>
      <c r="B1918" s="1" t="s">
        <v>7094</v>
      </c>
      <c r="C1918" s="1" t="s">
        <v>7095</v>
      </c>
      <c r="D1918" s="1" t="s">
        <v>7096</v>
      </c>
      <c r="E1918" s="1" t="s">
        <v>7097</v>
      </c>
      <c r="F1918" s="1"/>
      <c r="G1918" s="1">
        <v>380015</v>
      </c>
      <c r="H1918" s="1">
        <v>37.5</v>
      </c>
    </row>
    <row r="1919" spans="1:8" ht="21.75" customHeight="1">
      <c r="A1919" s="1" t="str">
        <f>"1204470000303939"</f>
        <v>1204470000303939</v>
      </c>
      <c r="B1919" s="1" t="s">
        <v>7098</v>
      </c>
      <c r="C1919" s="1" t="s">
        <v>7099</v>
      </c>
      <c r="D1919" s="1" t="s">
        <v>7100</v>
      </c>
      <c r="E1919" s="1" t="s">
        <v>7101</v>
      </c>
      <c r="F1919" s="1" t="s">
        <v>763</v>
      </c>
      <c r="G1919" s="1">
        <v>380019</v>
      </c>
      <c r="H1919" s="1">
        <v>57</v>
      </c>
    </row>
    <row r="1920" spans="1:8" ht="21.75" customHeight="1">
      <c r="A1920" s="1" t="str">
        <f>"1304140002922668"</f>
        <v>1304140002922668</v>
      </c>
      <c r="B1920" s="1" t="s">
        <v>7102</v>
      </c>
      <c r="C1920" s="1" t="s">
        <v>7103</v>
      </c>
      <c r="D1920" s="1" t="s">
        <v>7104</v>
      </c>
      <c r="E1920" s="1" t="s">
        <v>7105</v>
      </c>
      <c r="F1920" s="1" t="s">
        <v>2192</v>
      </c>
      <c r="G1920" s="1">
        <v>382028</v>
      </c>
      <c r="H1920" s="1">
        <v>224.25</v>
      </c>
    </row>
    <row r="1921" spans="1:8" ht="21.75" customHeight="1">
      <c r="A1921" s="1" t="str">
        <f>"1203500000124372"</f>
        <v>1203500000124372</v>
      </c>
      <c r="B1921" s="1" t="s">
        <v>7106</v>
      </c>
      <c r="C1921" s="1" t="s">
        <v>7107</v>
      </c>
      <c r="D1921" s="1" t="s">
        <v>7108</v>
      </c>
      <c r="E1921" s="1"/>
      <c r="F1921" s="1" t="s">
        <v>2192</v>
      </c>
      <c r="G1921" s="1">
        <v>382029</v>
      </c>
      <c r="H1921" s="1">
        <v>3.75</v>
      </c>
    </row>
    <row r="1922" spans="1:8" ht="21.75" customHeight="1">
      <c r="A1922" s="1" t="str">
        <f>"1208870033335650"</f>
        <v>1208870033335650</v>
      </c>
      <c r="B1922" s="1" t="s">
        <v>7109</v>
      </c>
      <c r="C1922" s="1" t="s">
        <v>7110</v>
      </c>
      <c r="D1922" s="1" t="s">
        <v>7111</v>
      </c>
      <c r="E1922" s="1" t="s">
        <v>410</v>
      </c>
      <c r="F1922" s="1" t="s">
        <v>763</v>
      </c>
      <c r="G1922" s="1">
        <v>382115</v>
      </c>
      <c r="H1922" s="1">
        <v>60.75</v>
      </c>
    </row>
    <row r="1923" spans="1:8" ht="21.75" customHeight="1">
      <c r="A1923" s="1" t="str">
        <f>"IN30164510503865"</f>
        <v>IN30164510503865</v>
      </c>
      <c r="B1923" s="1" t="s">
        <v>7112</v>
      </c>
      <c r="C1923" s="1" t="s">
        <v>7113</v>
      </c>
      <c r="D1923" s="1" t="s">
        <v>7114</v>
      </c>
      <c r="E1923" s="1" t="s">
        <v>7115</v>
      </c>
      <c r="F1923" s="1"/>
      <c r="G1923" s="1">
        <v>382345</v>
      </c>
      <c r="H1923" s="1">
        <v>67</v>
      </c>
    </row>
    <row r="1924" spans="1:8" ht="21.75" customHeight="1">
      <c r="A1924" s="1" t="str">
        <f>"1208160071459171"</f>
        <v>1208160071459171</v>
      </c>
      <c r="B1924" s="1" t="s">
        <v>7116</v>
      </c>
      <c r="C1924" s="1" t="s">
        <v>7117</v>
      </c>
      <c r="D1924" s="1" t="s">
        <v>7118</v>
      </c>
      <c r="E1924" s="1"/>
      <c r="F1924" s="1" t="s">
        <v>763</v>
      </c>
      <c r="G1924" s="1">
        <v>382350</v>
      </c>
      <c r="H1924" s="1">
        <v>150</v>
      </c>
    </row>
    <row r="1925" spans="1:8" ht="21.75" customHeight="1">
      <c r="A1925" s="1" t="str">
        <f>"1204200000079562"</f>
        <v>1204200000079562</v>
      </c>
      <c r="B1925" s="1" t="s">
        <v>7119</v>
      </c>
      <c r="C1925" s="1" t="s">
        <v>7120</v>
      </c>
      <c r="D1925" s="1" t="s">
        <v>7121</v>
      </c>
      <c r="E1925" s="1"/>
      <c r="F1925" s="1" t="s">
        <v>763</v>
      </c>
      <c r="G1925" s="1">
        <v>382418</v>
      </c>
      <c r="H1925" s="1">
        <v>37.5</v>
      </c>
    </row>
    <row r="1926" spans="1:8" ht="21.75" customHeight="1">
      <c r="A1926" s="1" t="str">
        <f>"1203510000039288"</f>
        <v>1203510000039288</v>
      </c>
      <c r="B1926" s="1" t="s">
        <v>7123</v>
      </c>
      <c r="C1926" s="1" t="s">
        <v>7124</v>
      </c>
      <c r="D1926" s="1" t="s">
        <v>7125</v>
      </c>
      <c r="E1926" s="1"/>
      <c r="F1926" s="1" t="s">
        <v>7122</v>
      </c>
      <c r="G1926" s="1">
        <v>383001</v>
      </c>
      <c r="H1926" s="1">
        <v>3.75</v>
      </c>
    </row>
    <row r="1927" spans="1:8" ht="21.75" customHeight="1">
      <c r="A1927" s="1" t="str">
        <f>"1304140001098561"</f>
        <v>1304140001098561</v>
      </c>
      <c r="B1927" s="1" t="s">
        <v>7126</v>
      </c>
      <c r="C1927" s="1" t="s">
        <v>7127</v>
      </c>
      <c r="D1927" s="1" t="s">
        <v>7128</v>
      </c>
      <c r="E1927" s="1"/>
      <c r="F1927" s="1" t="s">
        <v>7093</v>
      </c>
      <c r="G1927" s="1">
        <v>383001</v>
      </c>
      <c r="H1927" s="1">
        <v>2.25</v>
      </c>
    </row>
    <row r="1928" spans="1:8" ht="21.75" customHeight="1">
      <c r="A1928" s="1" t="str">
        <f>"IN30051314007863"</f>
        <v>IN30051314007863</v>
      </c>
      <c r="B1928" s="1" t="s">
        <v>7129</v>
      </c>
      <c r="C1928" s="1" t="s">
        <v>7130</v>
      </c>
      <c r="D1928" s="1" t="s">
        <v>7131</v>
      </c>
      <c r="E1928" s="1" t="s">
        <v>7132</v>
      </c>
      <c r="F1928" s="1"/>
      <c r="G1928" s="1">
        <v>384002</v>
      </c>
      <c r="H1928" s="1">
        <v>3</v>
      </c>
    </row>
    <row r="1929" spans="1:8" ht="21.75" customHeight="1">
      <c r="A1929" s="1" t="str">
        <f>"IN30305210758749"</f>
        <v>IN30305210758749</v>
      </c>
      <c r="B1929" s="1" t="s">
        <v>7134</v>
      </c>
      <c r="C1929" s="1" t="s">
        <v>7135</v>
      </c>
      <c r="D1929" s="1" t="s">
        <v>7136</v>
      </c>
      <c r="E1929" s="1" t="s">
        <v>7137</v>
      </c>
      <c r="F1929" s="1"/>
      <c r="G1929" s="1">
        <v>384265</v>
      </c>
      <c r="H1929" s="1">
        <v>2.25</v>
      </c>
    </row>
    <row r="1930" spans="1:8" ht="21.75" customHeight="1">
      <c r="A1930" s="1" t="str">
        <f>"IN30034311236696"</f>
        <v>IN30034311236696</v>
      </c>
      <c r="B1930" s="1" t="s">
        <v>7138</v>
      </c>
      <c r="C1930" s="1" t="s">
        <v>7139</v>
      </c>
      <c r="D1930" s="1" t="s">
        <v>7140</v>
      </c>
      <c r="E1930" s="1" t="s">
        <v>7133</v>
      </c>
      <c r="F1930" s="1"/>
      <c r="G1930" s="1">
        <v>384265</v>
      </c>
      <c r="H1930" s="1">
        <v>75</v>
      </c>
    </row>
    <row r="1931" spans="1:8" ht="21.75" customHeight="1">
      <c r="A1931" s="1" t="str">
        <f>"IN30127630504509"</f>
        <v>IN30127630504509</v>
      </c>
      <c r="B1931" s="1" t="s">
        <v>7141</v>
      </c>
      <c r="C1931" s="1" t="s">
        <v>2210</v>
      </c>
      <c r="D1931" s="1" t="s">
        <v>2211</v>
      </c>
      <c r="E1931" s="1" t="s">
        <v>7142</v>
      </c>
      <c r="F1931" s="1"/>
      <c r="G1931" s="1">
        <v>384315</v>
      </c>
      <c r="H1931" s="1">
        <v>0.75</v>
      </c>
    </row>
    <row r="1932" spans="1:8" ht="21.75" customHeight="1">
      <c r="A1932" s="1" t="str">
        <f>"1203320000512211"</f>
        <v>1203320000512211</v>
      </c>
      <c r="B1932" s="1" t="s">
        <v>7143</v>
      </c>
      <c r="C1932" s="1" t="s">
        <v>7144</v>
      </c>
      <c r="D1932" s="1" t="s">
        <v>7145</v>
      </c>
      <c r="E1932" s="1" t="s">
        <v>7146</v>
      </c>
      <c r="F1932" s="1" t="s">
        <v>7147</v>
      </c>
      <c r="G1932" s="1">
        <v>385340</v>
      </c>
      <c r="H1932" s="1">
        <v>3.75</v>
      </c>
    </row>
    <row r="1933" spans="1:8" ht="21.75" customHeight="1">
      <c r="A1933" s="1" t="str">
        <f>"1204470000627754"</f>
        <v>1204470000627754</v>
      </c>
      <c r="B1933" s="1" t="s">
        <v>7148</v>
      </c>
      <c r="C1933" s="1" t="s">
        <v>7149</v>
      </c>
      <c r="D1933" s="1" t="s">
        <v>7150</v>
      </c>
      <c r="E1933" s="1" t="s">
        <v>7151</v>
      </c>
      <c r="F1933" s="1" t="s">
        <v>7151</v>
      </c>
      <c r="G1933" s="1">
        <v>385519</v>
      </c>
      <c r="H1933" s="1">
        <v>10.5</v>
      </c>
    </row>
    <row r="1934" spans="1:8" ht="21.75" customHeight="1">
      <c r="A1934" s="1" t="str">
        <f>"IN30065210036906"</f>
        <v>IN30065210036906</v>
      </c>
      <c r="B1934" s="1" t="s">
        <v>7152</v>
      </c>
      <c r="C1934" s="1" t="s">
        <v>7153</v>
      </c>
      <c r="D1934" s="1" t="s">
        <v>5152</v>
      </c>
      <c r="E1934" s="1" t="s">
        <v>7154</v>
      </c>
      <c r="F1934" s="1"/>
      <c r="G1934" s="1">
        <v>387001</v>
      </c>
      <c r="H1934" s="1">
        <v>37.5</v>
      </c>
    </row>
    <row r="1935" spans="1:8" ht="21.75" customHeight="1">
      <c r="A1935" s="1" t="str">
        <f>"IN30097411314676"</f>
        <v>IN30097411314676</v>
      </c>
      <c r="B1935" s="1" t="s">
        <v>7155</v>
      </c>
      <c r="C1935" s="1" t="s">
        <v>7156</v>
      </c>
      <c r="D1935" s="1" t="s">
        <v>7157</v>
      </c>
      <c r="E1935" s="1" t="s">
        <v>7154</v>
      </c>
      <c r="F1935" s="1"/>
      <c r="G1935" s="1">
        <v>387002</v>
      </c>
      <c r="H1935" s="1">
        <v>37.5</v>
      </c>
    </row>
    <row r="1936" spans="1:8" ht="21.75" customHeight="1">
      <c r="A1936" s="1" t="str">
        <f>"IN30177414678035"</f>
        <v>IN30177414678035</v>
      </c>
      <c r="B1936" s="1" t="s">
        <v>7158</v>
      </c>
      <c r="C1936" s="1" t="s">
        <v>7159</v>
      </c>
      <c r="D1936" s="1" t="s">
        <v>7160</v>
      </c>
      <c r="E1936" s="1" t="s">
        <v>7161</v>
      </c>
      <c r="F1936" s="1"/>
      <c r="G1936" s="1">
        <v>387002</v>
      </c>
      <c r="H1936" s="1">
        <v>37.5</v>
      </c>
    </row>
    <row r="1937" spans="1:8" ht="21.75" customHeight="1">
      <c r="A1937" s="1" t="str">
        <f>"1201130000219393"</f>
        <v>1201130000219393</v>
      </c>
      <c r="B1937" s="1" t="s">
        <v>7162</v>
      </c>
      <c r="C1937" s="1" t="s">
        <v>7163</v>
      </c>
      <c r="D1937" s="1" t="s">
        <v>7164</v>
      </c>
      <c r="E1937" s="1" t="s">
        <v>7165</v>
      </c>
      <c r="F1937" s="1" t="s">
        <v>7166</v>
      </c>
      <c r="G1937" s="1">
        <v>388001</v>
      </c>
      <c r="H1937" s="1">
        <v>75</v>
      </c>
    </row>
    <row r="1938" spans="1:8" ht="21.75" customHeight="1">
      <c r="A1938" s="1" t="str">
        <f>"IN30169612231238"</f>
        <v>IN30169612231238</v>
      </c>
      <c r="B1938" s="1" t="s">
        <v>7167</v>
      </c>
      <c r="C1938" s="1" t="s">
        <v>7168</v>
      </c>
      <c r="D1938" s="1" t="s">
        <v>7169</v>
      </c>
      <c r="E1938" s="1" t="s">
        <v>17</v>
      </c>
      <c r="F1938" s="1"/>
      <c r="G1938" s="1">
        <v>388001</v>
      </c>
      <c r="H1938" s="1">
        <v>37.5</v>
      </c>
    </row>
    <row r="1939" spans="1:8" ht="21.75" customHeight="1">
      <c r="A1939" s="1" t="str">
        <f>"IN30063610293982"</f>
        <v>IN30063610293982</v>
      </c>
      <c r="B1939" s="1" t="s">
        <v>7170</v>
      </c>
      <c r="C1939" s="1" t="s">
        <v>7171</v>
      </c>
      <c r="D1939" s="1" t="s">
        <v>7172</v>
      </c>
      <c r="E1939" s="1" t="s">
        <v>7173</v>
      </c>
      <c r="F1939" s="1"/>
      <c r="G1939" s="1">
        <v>388215</v>
      </c>
      <c r="H1939" s="1">
        <v>75</v>
      </c>
    </row>
    <row r="1940" spans="1:8" ht="21.75" customHeight="1">
      <c r="A1940" s="1" t="str">
        <f>"IN30199110366131"</f>
        <v>IN30199110366131</v>
      </c>
      <c r="B1940" s="1" t="s">
        <v>7174</v>
      </c>
      <c r="C1940" s="1" t="s">
        <v>7175</v>
      </c>
      <c r="D1940" s="1" t="s">
        <v>7176</v>
      </c>
      <c r="E1940" s="1" t="s">
        <v>7177</v>
      </c>
      <c r="F1940" s="1"/>
      <c r="G1940" s="1">
        <v>388255</v>
      </c>
      <c r="H1940" s="1">
        <v>15</v>
      </c>
    </row>
    <row r="1941" spans="1:8" ht="21.75" customHeight="1">
      <c r="A1941" s="1" t="str">
        <f>"IN30063640001554"</f>
        <v>IN30063640001554</v>
      </c>
      <c r="B1941" s="1" t="s">
        <v>7178</v>
      </c>
      <c r="C1941" s="1" t="s">
        <v>7179</v>
      </c>
      <c r="D1941" s="1" t="s">
        <v>109</v>
      </c>
      <c r="E1941" s="1" t="s">
        <v>7180</v>
      </c>
      <c r="F1941" s="1"/>
      <c r="G1941" s="1">
        <v>388355</v>
      </c>
      <c r="H1941" s="1">
        <v>150</v>
      </c>
    </row>
    <row r="1942" spans="1:8" ht="21.75" customHeight="1">
      <c r="A1942" s="1" t="str">
        <f>"1203000000273473"</f>
        <v>1203000000273473</v>
      </c>
      <c r="B1942" s="1" t="s">
        <v>7181</v>
      </c>
      <c r="C1942" s="1" t="s">
        <v>7182</v>
      </c>
      <c r="D1942" s="1" t="s">
        <v>7183</v>
      </c>
      <c r="E1942" s="1"/>
      <c r="F1942" s="1" t="s">
        <v>171</v>
      </c>
      <c r="G1942" s="1">
        <v>388550</v>
      </c>
      <c r="H1942" s="1">
        <v>1050</v>
      </c>
    </row>
    <row r="1943" spans="1:8" ht="21.75" customHeight="1">
      <c r="A1943" s="1" t="str">
        <f>"1203210000072516"</f>
        <v>1203210000072516</v>
      </c>
      <c r="B1943" s="1" t="s">
        <v>7184</v>
      </c>
      <c r="C1943" s="1" t="s">
        <v>7185</v>
      </c>
      <c r="D1943" s="1" t="s">
        <v>7186</v>
      </c>
      <c r="E1943" s="1" t="s">
        <v>7187</v>
      </c>
      <c r="F1943" s="1" t="s">
        <v>7188</v>
      </c>
      <c r="G1943" s="1">
        <v>388620</v>
      </c>
      <c r="H1943" s="1">
        <v>75</v>
      </c>
    </row>
    <row r="1944" spans="1:8" ht="21.75" customHeight="1">
      <c r="A1944" s="1" t="str">
        <f>"IN30199110692859"</f>
        <v>IN30199110692859</v>
      </c>
      <c r="B1944" s="1" t="s">
        <v>7189</v>
      </c>
      <c r="C1944" s="1" t="s">
        <v>7190</v>
      </c>
      <c r="D1944" s="1"/>
      <c r="E1944" s="1" t="s">
        <v>7191</v>
      </c>
      <c r="F1944" s="1"/>
      <c r="G1944" s="1">
        <v>389001</v>
      </c>
      <c r="H1944" s="1">
        <v>78.75</v>
      </c>
    </row>
    <row r="1945" spans="1:8" ht="21.75" customHeight="1">
      <c r="A1945" s="1" t="str">
        <f>"IN30199110090856"</f>
        <v>IN30199110090856</v>
      </c>
      <c r="B1945" s="1" t="s">
        <v>7192</v>
      </c>
      <c r="C1945" s="1" t="s">
        <v>7193</v>
      </c>
      <c r="D1945" s="1" t="s">
        <v>7194</v>
      </c>
      <c r="E1945" s="1" t="s">
        <v>7195</v>
      </c>
      <c r="F1945" s="1"/>
      <c r="G1945" s="1">
        <v>389230</v>
      </c>
      <c r="H1945" s="1">
        <v>75</v>
      </c>
    </row>
    <row r="1946" spans="1:8" ht="21.75" customHeight="1">
      <c r="A1946" s="1" t="str">
        <f>"IN30169611815219"</f>
        <v>IN30169611815219</v>
      </c>
      <c r="B1946" s="1" t="s">
        <v>7196</v>
      </c>
      <c r="C1946" s="1" t="s">
        <v>7197</v>
      </c>
      <c r="D1946" s="1" t="s">
        <v>7198</v>
      </c>
      <c r="E1946" s="1" t="s">
        <v>7199</v>
      </c>
      <c r="F1946" s="1"/>
      <c r="G1946" s="1">
        <v>389250</v>
      </c>
      <c r="H1946" s="1">
        <v>75</v>
      </c>
    </row>
    <row r="1947" spans="1:8" ht="21.75" customHeight="1">
      <c r="A1947" s="1" t="str">
        <f>"1207020000095066"</f>
        <v>1207020000095066</v>
      </c>
      <c r="B1947" s="1" t="s">
        <v>7200</v>
      </c>
      <c r="C1947" s="1" t="s">
        <v>7201</v>
      </c>
      <c r="D1947" s="1" t="s">
        <v>7202</v>
      </c>
      <c r="E1947" s="1" t="s">
        <v>7203</v>
      </c>
      <c r="F1947" s="1" t="s">
        <v>2230</v>
      </c>
      <c r="G1947" s="1">
        <v>390001</v>
      </c>
      <c r="H1947" s="1">
        <v>75</v>
      </c>
    </row>
    <row r="1948" spans="1:8" ht="21.75" customHeight="1">
      <c r="A1948" s="1" t="str">
        <f>"IN30051314751114"</f>
        <v>IN30051314751114</v>
      </c>
      <c r="B1948" s="1" t="s">
        <v>7204</v>
      </c>
      <c r="C1948" s="1" t="s">
        <v>7205</v>
      </c>
      <c r="D1948" s="1" t="s">
        <v>2230</v>
      </c>
      <c r="E1948" s="1" t="s">
        <v>2201</v>
      </c>
      <c r="F1948" s="1"/>
      <c r="G1948" s="1">
        <v>390002</v>
      </c>
      <c r="H1948" s="1">
        <v>9</v>
      </c>
    </row>
    <row r="1949" spans="1:8" ht="21.75" customHeight="1">
      <c r="A1949" s="1" t="str">
        <f>"IN30199110274723"</f>
        <v>IN30199110274723</v>
      </c>
      <c r="B1949" s="1" t="s">
        <v>7206</v>
      </c>
      <c r="C1949" s="1" t="s">
        <v>7207</v>
      </c>
      <c r="D1949" s="1" t="s">
        <v>7208</v>
      </c>
      <c r="E1949" s="1" t="s">
        <v>7209</v>
      </c>
      <c r="F1949" s="1"/>
      <c r="G1949" s="1">
        <v>390007</v>
      </c>
      <c r="H1949" s="1">
        <v>0.75</v>
      </c>
    </row>
    <row r="1950" spans="1:8" ht="21.75" customHeight="1">
      <c r="A1950" s="1" t="str">
        <f>"IN30311610371235"</f>
        <v>IN30311610371235</v>
      </c>
      <c r="B1950" s="1" t="s">
        <v>7210</v>
      </c>
      <c r="C1950" s="1" t="s">
        <v>7211</v>
      </c>
      <c r="D1950" s="1" t="s">
        <v>7212</v>
      </c>
      <c r="E1950" s="1" t="s">
        <v>7213</v>
      </c>
      <c r="F1950" s="1"/>
      <c r="G1950" s="1">
        <v>390015</v>
      </c>
      <c r="H1950" s="1">
        <v>15</v>
      </c>
    </row>
    <row r="1951" spans="1:8" ht="21.75" customHeight="1">
      <c r="A1951" s="1" t="str">
        <f>"IN30051313787162"</f>
        <v>IN30051313787162</v>
      </c>
      <c r="B1951" s="1" t="s">
        <v>7214</v>
      </c>
      <c r="C1951" s="1" t="s">
        <v>7215</v>
      </c>
      <c r="D1951" s="1" t="s">
        <v>7216</v>
      </c>
      <c r="E1951" s="1" t="s">
        <v>7217</v>
      </c>
      <c r="F1951" s="1"/>
      <c r="G1951" s="1">
        <v>390018</v>
      </c>
      <c r="H1951" s="1">
        <v>18.75</v>
      </c>
    </row>
    <row r="1952" spans="1:8" ht="21.75" customHeight="1">
      <c r="A1952" s="1" t="str">
        <f>"IN30199110298691"</f>
        <v>IN30199110298691</v>
      </c>
      <c r="B1952" s="1" t="s">
        <v>7218</v>
      </c>
      <c r="C1952" s="1" t="s">
        <v>7219</v>
      </c>
      <c r="D1952" s="1"/>
      <c r="E1952" s="1" t="s">
        <v>7220</v>
      </c>
      <c r="F1952" s="1"/>
      <c r="G1952" s="1">
        <v>390020</v>
      </c>
      <c r="H1952" s="1">
        <v>7.5</v>
      </c>
    </row>
    <row r="1953" spans="1:8" ht="21.75" customHeight="1">
      <c r="A1953" s="1" t="str">
        <f>"IN30199110832974"</f>
        <v>IN30199110832974</v>
      </c>
      <c r="B1953" s="1" t="s">
        <v>7221</v>
      </c>
      <c r="C1953" s="1" t="s">
        <v>7222</v>
      </c>
      <c r="D1953" s="1"/>
      <c r="E1953" s="1" t="s">
        <v>7220</v>
      </c>
      <c r="F1953" s="1"/>
      <c r="G1953" s="1">
        <v>390020</v>
      </c>
      <c r="H1953" s="1">
        <v>183.75</v>
      </c>
    </row>
    <row r="1954" spans="1:8" ht="21.75" customHeight="1">
      <c r="A1954" s="1" t="str">
        <f>"IN30199110271041"</f>
        <v>IN30199110271041</v>
      </c>
      <c r="B1954" s="1" t="s">
        <v>7223</v>
      </c>
      <c r="C1954" s="1" t="s">
        <v>7224</v>
      </c>
      <c r="D1954" s="1" t="s">
        <v>7225</v>
      </c>
      <c r="E1954" s="1" t="s">
        <v>7226</v>
      </c>
      <c r="F1954" s="1"/>
      <c r="G1954" s="1">
        <v>390021</v>
      </c>
      <c r="H1954" s="1">
        <v>187.5</v>
      </c>
    </row>
    <row r="1955" spans="1:8" ht="21.75" customHeight="1">
      <c r="A1955" s="1" t="str">
        <f>"1208160031677029"</f>
        <v>1208160031677029</v>
      </c>
      <c r="B1955" s="1" t="s">
        <v>7227</v>
      </c>
      <c r="C1955" s="1" t="s">
        <v>7228</v>
      </c>
      <c r="D1955" s="1" t="s">
        <v>7229</v>
      </c>
      <c r="E1955" s="1"/>
      <c r="F1955" s="1" t="s">
        <v>2230</v>
      </c>
      <c r="G1955" s="1">
        <v>390021</v>
      </c>
      <c r="H1955" s="1">
        <v>7.5</v>
      </c>
    </row>
    <row r="1956" spans="1:8" ht="21.75" customHeight="1">
      <c r="A1956" s="1" t="str">
        <f>"IN30023911785618"</f>
        <v>IN30023911785618</v>
      </c>
      <c r="B1956" s="1" t="s">
        <v>7230</v>
      </c>
      <c r="C1956" s="1" t="s">
        <v>7231</v>
      </c>
      <c r="D1956" s="1" t="s">
        <v>7232</v>
      </c>
      <c r="E1956" s="1" t="s">
        <v>7233</v>
      </c>
      <c r="F1956" s="1"/>
      <c r="G1956" s="1">
        <v>390021</v>
      </c>
      <c r="H1956" s="1">
        <v>75</v>
      </c>
    </row>
    <row r="1957" spans="1:8" ht="21.75" customHeight="1">
      <c r="A1957" s="1" t="str">
        <f>"1301670000299010"</f>
        <v>1301670000299010</v>
      </c>
      <c r="B1957" s="1" t="s">
        <v>7234</v>
      </c>
      <c r="C1957" s="1" t="s">
        <v>7235</v>
      </c>
      <c r="D1957" s="1" t="s">
        <v>7236</v>
      </c>
      <c r="E1957" s="1" t="s">
        <v>7237</v>
      </c>
      <c r="F1957" s="1" t="s">
        <v>2230</v>
      </c>
      <c r="G1957" s="1">
        <v>390023</v>
      </c>
      <c r="H1957" s="1">
        <v>75</v>
      </c>
    </row>
    <row r="1958" spans="1:8" ht="21.75" customHeight="1">
      <c r="A1958" s="1" t="str">
        <f>"IN30199110472753"</f>
        <v>IN30199110472753</v>
      </c>
      <c r="B1958" s="1" t="s">
        <v>7238</v>
      </c>
      <c r="C1958" s="1" t="s">
        <v>7239</v>
      </c>
      <c r="D1958" s="1" t="s">
        <v>7240</v>
      </c>
      <c r="E1958" s="1" t="s">
        <v>2250</v>
      </c>
      <c r="F1958" s="1"/>
      <c r="G1958" s="1">
        <v>392002</v>
      </c>
      <c r="H1958" s="1">
        <v>2.25</v>
      </c>
    </row>
    <row r="1959" spans="1:8" ht="21.75" customHeight="1">
      <c r="A1959" s="1" t="str">
        <f>"IN30039417015870"</f>
        <v>IN30039417015870</v>
      </c>
      <c r="B1959" s="1" t="s">
        <v>7241</v>
      </c>
      <c r="C1959" s="1" t="s">
        <v>7242</v>
      </c>
      <c r="D1959" s="1" t="s">
        <v>7243</v>
      </c>
      <c r="E1959" s="1" t="s">
        <v>7244</v>
      </c>
      <c r="F1959" s="1"/>
      <c r="G1959" s="1">
        <v>392011</v>
      </c>
      <c r="H1959" s="1">
        <v>37.5</v>
      </c>
    </row>
    <row r="1960" spans="1:8" ht="21.75" customHeight="1">
      <c r="A1960" s="1" t="str">
        <f>"1201130000015777"</f>
        <v>1201130000015777</v>
      </c>
      <c r="B1960" s="1" t="s">
        <v>7245</v>
      </c>
      <c r="C1960" s="1" t="s">
        <v>7246</v>
      </c>
      <c r="D1960" s="1" t="s">
        <v>7247</v>
      </c>
      <c r="E1960" s="1"/>
      <c r="F1960" s="1" t="s">
        <v>2250</v>
      </c>
      <c r="G1960" s="1">
        <v>392012</v>
      </c>
      <c r="H1960" s="1">
        <v>150</v>
      </c>
    </row>
    <row r="1961" spans="1:8" ht="21.75" customHeight="1">
      <c r="A1961" s="1" t="str">
        <f>"1204720010684979"</f>
        <v>1204720010684979</v>
      </c>
      <c r="B1961" s="1" t="s">
        <v>7248</v>
      </c>
      <c r="C1961" s="1" t="s">
        <v>7249</v>
      </c>
      <c r="D1961" s="1" t="s">
        <v>7250</v>
      </c>
      <c r="E1961" s="1" t="s">
        <v>2264</v>
      </c>
      <c r="F1961" s="1" t="s">
        <v>2250</v>
      </c>
      <c r="G1961" s="1">
        <v>393002</v>
      </c>
      <c r="H1961" s="1">
        <v>75</v>
      </c>
    </row>
    <row r="1962" spans="1:8" ht="21.75" customHeight="1">
      <c r="A1962" s="1" t="str">
        <f>"IN30307710124844"</f>
        <v>IN30307710124844</v>
      </c>
      <c r="B1962" s="1" t="s">
        <v>7251</v>
      </c>
      <c r="C1962" s="1" t="s">
        <v>7252</v>
      </c>
      <c r="D1962" s="1" t="s">
        <v>7253</v>
      </c>
      <c r="E1962" s="1" t="s">
        <v>7254</v>
      </c>
      <c r="F1962" s="1"/>
      <c r="G1962" s="1">
        <v>395001</v>
      </c>
      <c r="H1962" s="1">
        <v>750</v>
      </c>
    </row>
    <row r="1963" spans="1:8" ht="21.75" customHeight="1">
      <c r="A1963" s="1" t="str">
        <f>"IN30226910809334"</f>
        <v>IN30226910809334</v>
      </c>
      <c r="B1963" s="1" t="s">
        <v>7255</v>
      </c>
      <c r="C1963" s="1" t="s">
        <v>7256</v>
      </c>
      <c r="D1963" s="1" t="s">
        <v>7257</v>
      </c>
      <c r="E1963" s="1" t="s">
        <v>7258</v>
      </c>
      <c r="F1963" s="1"/>
      <c r="G1963" s="1">
        <v>395004</v>
      </c>
      <c r="H1963" s="1">
        <v>6</v>
      </c>
    </row>
    <row r="1964" spans="1:8" ht="21.75" customHeight="1">
      <c r="A1964" s="1" t="str">
        <f>"1304140003832396"</f>
        <v>1304140003832396</v>
      </c>
      <c r="B1964" s="1" t="s">
        <v>7259</v>
      </c>
      <c r="C1964" s="1" t="s">
        <v>7260</v>
      </c>
      <c r="D1964" s="1" t="s">
        <v>7261</v>
      </c>
      <c r="E1964" s="1" t="s">
        <v>7262</v>
      </c>
      <c r="F1964" s="1" t="s">
        <v>778</v>
      </c>
      <c r="G1964" s="1">
        <v>395005</v>
      </c>
      <c r="H1964" s="1">
        <v>59.25</v>
      </c>
    </row>
    <row r="1965" spans="1:8" ht="21.75" customHeight="1">
      <c r="A1965" s="1" t="str">
        <f>"1204470002321522"</f>
        <v>1204470002321522</v>
      </c>
      <c r="B1965" s="1" t="s">
        <v>7263</v>
      </c>
      <c r="C1965" s="1" t="s">
        <v>7264</v>
      </c>
      <c r="D1965" s="1" t="s">
        <v>7265</v>
      </c>
      <c r="E1965" s="1" t="s">
        <v>7266</v>
      </c>
      <c r="F1965" s="1" t="s">
        <v>778</v>
      </c>
      <c r="G1965" s="1">
        <v>395008</v>
      </c>
      <c r="H1965" s="1">
        <v>3</v>
      </c>
    </row>
    <row r="1966" spans="1:8" ht="21.75" customHeight="1">
      <c r="A1966" s="1" t="str">
        <f>"IN30042510087524"</f>
        <v>IN30042510087524</v>
      </c>
      <c r="B1966" s="1" t="s">
        <v>7267</v>
      </c>
      <c r="C1966" s="1" t="s">
        <v>7268</v>
      </c>
      <c r="D1966" s="1" t="s">
        <v>7269</v>
      </c>
      <c r="E1966" s="1" t="s">
        <v>7270</v>
      </c>
      <c r="F1966" s="1"/>
      <c r="G1966" s="1">
        <v>395009</v>
      </c>
      <c r="H1966" s="1">
        <v>7.5</v>
      </c>
    </row>
    <row r="1967" spans="1:8" ht="21.75" customHeight="1">
      <c r="A1967" s="1" t="str">
        <f>"1204720010647248"</f>
        <v>1204720010647248</v>
      </c>
      <c r="B1967" s="1" t="s">
        <v>7271</v>
      </c>
      <c r="C1967" s="1" t="s">
        <v>7272</v>
      </c>
      <c r="D1967" s="1" t="s">
        <v>7273</v>
      </c>
      <c r="E1967" s="1" t="s">
        <v>7274</v>
      </c>
      <c r="F1967" s="1" t="s">
        <v>778</v>
      </c>
      <c r="G1967" s="1">
        <v>395009</v>
      </c>
      <c r="H1967" s="1">
        <v>45</v>
      </c>
    </row>
    <row r="1968" spans="1:8" ht="21.75" customHeight="1">
      <c r="A1968" s="1" t="str">
        <f>"1204310000250348"</f>
        <v>1204310000250348</v>
      </c>
      <c r="B1968" s="1" t="s">
        <v>7275</v>
      </c>
      <c r="C1968" s="1" t="s">
        <v>7276</v>
      </c>
      <c r="D1968" s="1" t="s">
        <v>7277</v>
      </c>
      <c r="E1968" s="1" t="s">
        <v>7278</v>
      </c>
      <c r="F1968" s="1" t="s">
        <v>778</v>
      </c>
      <c r="G1968" s="1">
        <v>395017</v>
      </c>
      <c r="H1968" s="1">
        <v>75</v>
      </c>
    </row>
    <row r="1969" spans="1:8" ht="21.75" customHeight="1">
      <c r="A1969" s="1" t="str">
        <f>"IN30199110716373"</f>
        <v>IN30199110716373</v>
      </c>
      <c r="B1969" s="1" t="s">
        <v>7279</v>
      </c>
      <c r="C1969" s="1" t="s">
        <v>7280</v>
      </c>
      <c r="D1969" s="1" t="s">
        <v>7281</v>
      </c>
      <c r="E1969" s="1" t="s">
        <v>7282</v>
      </c>
      <c r="F1969" s="1"/>
      <c r="G1969" s="1">
        <v>396001</v>
      </c>
      <c r="H1969" s="1">
        <v>18.75</v>
      </c>
    </row>
    <row r="1970" spans="1:8" ht="21.75" customHeight="1">
      <c r="A1970" s="1" t="str">
        <f>"1201060001583338"</f>
        <v>1201060001583338</v>
      </c>
      <c r="B1970" s="1" t="s">
        <v>7283</v>
      </c>
      <c r="C1970" s="1" t="s">
        <v>7284</v>
      </c>
      <c r="D1970" s="1" t="s">
        <v>7285</v>
      </c>
      <c r="E1970" s="1" t="s">
        <v>53</v>
      </c>
      <c r="F1970" s="1" t="s">
        <v>172</v>
      </c>
      <c r="G1970" s="1">
        <v>396001</v>
      </c>
      <c r="H1970" s="1">
        <v>106.5</v>
      </c>
    </row>
    <row r="1971" spans="1:8" ht="21.75" customHeight="1">
      <c r="A1971" s="1" t="str">
        <f>"IN30177414259272"</f>
        <v>IN30177414259272</v>
      </c>
      <c r="B1971" s="1" t="s">
        <v>7286</v>
      </c>
      <c r="C1971" s="1" t="s">
        <v>839</v>
      </c>
      <c r="D1971" s="1" t="s">
        <v>7287</v>
      </c>
      <c r="E1971" s="1" t="s">
        <v>172</v>
      </c>
      <c r="F1971" s="1"/>
      <c r="G1971" s="1">
        <v>396001</v>
      </c>
      <c r="H1971" s="1">
        <v>75</v>
      </c>
    </row>
    <row r="1972" spans="1:8" ht="21.75" customHeight="1">
      <c r="A1972" s="1" t="str">
        <f>"IN30097410619704"</f>
        <v>IN30097410619704</v>
      </c>
      <c r="B1972" s="1" t="s">
        <v>7288</v>
      </c>
      <c r="C1972" s="1" t="s">
        <v>7289</v>
      </c>
      <c r="D1972" s="1"/>
      <c r="E1972" s="1" t="s">
        <v>7290</v>
      </c>
      <c r="F1972" s="1"/>
      <c r="G1972" s="1">
        <v>396191</v>
      </c>
      <c r="H1972" s="1">
        <v>37.5</v>
      </c>
    </row>
    <row r="1973" spans="1:8" ht="21.75" customHeight="1">
      <c r="A1973" s="1" t="str">
        <f>"1203320000535556"</f>
        <v>1203320000535556</v>
      </c>
      <c r="B1973" s="1" t="s">
        <v>7291</v>
      </c>
      <c r="C1973" s="1" t="s">
        <v>7292</v>
      </c>
      <c r="D1973" s="1" t="s">
        <v>7293</v>
      </c>
      <c r="E1973" s="1"/>
      <c r="F1973" s="1" t="s">
        <v>177</v>
      </c>
      <c r="G1973" s="1">
        <v>396195</v>
      </c>
      <c r="H1973" s="1">
        <v>22.5</v>
      </c>
    </row>
    <row r="1974" spans="1:8" ht="21.75" customHeight="1">
      <c r="A1974" s="1" t="str">
        <f>"1203320007060641"</f>
        <v>1203320007060641</v>
      </c>
      <c r="B1974" s="1" t="s">
        <v>7294</v>
      </c>
      <c r="C1974" s="1" t="s">
        <v>7295</v>
      </c>
      <c r="D1974" s="1" t="s">
        <v>177</v>
      </c>
      <c r="E1974" s="1" t="s">
        <v>177</v>
      </c>
      <c r="F1974" s="1" t="s">
        <v>177</v>
      </c>
      <c r="G1974" s="1">
        <v>396195</v>
      </c>
      <c r="H1974" s="1">
        <v>37.5</v>
      </c>
    </row>
    <row r="1975" spans="1:8" ht="21.75" customHeight="1">
      <c r="A1975" s="1" t="str">
        <f>"1204470006668456"</f>
        <v>1204470006668456</v>
      </c>
      <c r="B1975" s="1" t="s">
        <v>7296</v>
      </c>
      <c r="C1975" s="1" t="s">
        <v>7297</v>
      </c>
      <c r="D1975" s="1" t="s">
        <v>7298</v>
      </c>
      <c r="E1975" s="1" t="s">
        <v>7299</v>
      </c>
      <c r="F1975" s="1" t="s">
        <v>7300</v>
      </c>
      <c r="G1975" s="1">
        <v>396230</v>
      </c>
      <c r="H1975" s="1">
        <v>11.25</v>
      </c>
    </row>
    <row r="1976" spans="1:8" ht="21.75" customHeight="1">
      <c r="A1976" s="1" t="str">
        <f>"1203330000320952"</f>
        <v>1203330000320952</v>
      </c>
      <c r="B1976" s="1" t="s">
        <v>7301</v>
      </c>
      <c r="C1976" s="1" t="s">
        <v>7302</v>
      </c>
      <c r="D1976" s="1" t="s">
        <v>7303</v>
      </c>
      <c r="E1976" s="1" t="s">
        <v>7304</v>
      </c>
      <c r="F1976" s="1" t="s">
        <v>7305</v>
      </c>
      <c r="G1976" s="1">
        <v>396370</v>
      </c>
      <c r="H1976" s="1">
        <v>12.75</v>
      </c>
    </row>
    <row r="1977" spans="1:8" ht="21.75" customHeight="1">
      <c r="A1977" s="1" t="str">
        <f>"1201330000414149"</f>
        <v>1201330000414149</v>
      </c>
      <c r="B1977" s="1" t="s">
        <v>7306</v>
      </c>
      <c r="C1977" s="1" t="s">
        <v>7307</v>
      </c>
      <c r="D1977" s="1" t="s">
        <v>2078</v>
      </c>
      <c r="E1977" s="1" t="s">
        <v>2353</v>
      </c>
      <c r="F1977" s="1" t="s">
        <v>2353</v>
      </c>
      <c r="G1977" s="1">
        <v>396445</v>
      </c>
      <c r="H1977" s="1">
        <v>75</v>
      </c>
    </row>
    <row r="1978" spans="1:8" ht="21.75" customHeight="1">
      <c r="A1978" s="1" t="str">
        <f>"IN30074910426490"</f>
        <v>IN30074910426490</v>
      </c>
      <c r="B1978" s="1" t="s">
        <v>7308</v>
      </c>
      <c r="C1978" s="1" t="s">
        <v>7309</v>
      </c>
      <c r="D1978" s="1" t="s">
        <v>7310</v>
      </c>
      <c r="E1978" s="1" t="s">
        <v>7311</v>
      </c>
      <c r="F1978" s="1"/>
      <c r="G1978" s="1">
        <v>400002</v>
      </c>
      <c r="H1978" s="1">
        <v>187.5</v>
      </c>
    </row>
    <row r="1979" spans="1:8" ht="21.75" customHeight="1">
      <c r="A1979" s="1" t="str">
        <f>"IN30051316758230"</f>
        <v>IN30051316758230</v>
      </c>
      <c r="B1979" s="1" t="s">
        <v>7312</v>
      </c>
      <c r="C1979" s="1" t="s">
        <v>7313</v>
      </c>
      <c r="D1979" s="1" t="s">
        <v>7314</v>
      </c>
      <c r="E1979" s="1" t="s">
        <v>813</v>
      </c>
      <c r="F1979" s="1"/>
      <c r="G1979" s="1">
        <v>400004</v>
      </c>
      <c r="H1979" s="1">
        <v>18</v>
      </c>
    </row>
    <row r="1980" spans="1:8" ht="21.75" customHeight="1">
      <c r="A1980" s="1" t="str">
        <f>"IN30133017742577"</f>
        <v>IN30133017742577</v>
      </c>
      <c r="B1980" s="1" t="s">
        <v>7315</v>
      </c>
      <c r="C1980" s="1" t="s">
        <v>7316</v>
      </c>
      <c r="D1980" s="1" t="s">
        <v>7317</v>
      </c>
      <c r="E1980" s="1" t="s">
        <v>7318</v>
      </c>
      <c r="F1980" s="1"/>
      <c r="G1980" s="1">
        <v>400005</v>
      </c>
      <c r="H1980" s="1">
        <v>7.5</v>
      </c>
    </row>
    <row r="1981" spans="1:8" ht="21.75" customHeight="1">
      <c r="A1981" s="1" t="str">
        <f>"1301380000018185"</f>
        <v>1301380000018185</v>
      </c>
      <c r="B1981" s="1" t="s">
        <v>7319</v>
      </c>
      <c r="C1981" s="1" t="s">
        <v>7320</v>
      </c>
      <c r="D1981" s="1" t="s">
        <v>7321</v>
      </c>
      <c r="E1981" s="1" t="s">
        <v>7322</v>
      </c>
      <c r="F1981" s="1" t="s">
        <v>7323</v>
      </c>
      <c r="G1981" s="1">
        <v>400016</v>
      </c>
      <c r="H1981" s="1">
        <v>75</v>
      </c>
    </row>
    <row r="1982" spans="1:8" ht="21.75" customHeight="1">
      <c r="A1982" s="1" t="str">
        <f>"IN30075711200986"</f>
        <v>IN30075711200986</v>
      </c>
      <c r="B1982" s="1" t="s">
        <v>7324</v>
      </c>
      <c r="C1982" s="1" t="s">
        <v>7325</v>
      </c>
      <c r="D1982" s="1" t="s">
        <v>7326</v>
      </c>
      <c r="E1982" s="1" t="s">
        <v>7327</v>
      </c>
      <c r="F1982" s="1"/>
      <c r="G1982" s="1">
        <v>400019</v>
      </c>
      <c r="H1982" s="1">
        <v>150</v>
      </c>
    </row>
    <row r="1983" spans="1:8" ht="21.75" customHeight="1">
      <c r="A1983" s="1" t="str">
        <f>"IN30001110004177"</f>
        <v>IN30001110004177</v>
      </c>
      <c r="B1983" s="1" t="s">
        <v>7328</v>
      </c>
      <c r="C1983" s="1" t="s">
        <v>7329</v>
      </c>
      <c r="D1983" s="1" t="s">
        <v>7330</v>
      </c>
      <c r="E1983" s="1" t="s">
        <v>7331</v>
      </c>
      <c r="F1983" s="1"/>
      <c r="G1983" s="1">
        <v>400021</v>
      </c>
      <c r="H1983" s="1">
        <v>675</v>
      </c>
    </row>
    <row r="1984" spans="1:8" ht="21.75" customHeight="1">
      <c r="A1984" s="1" t="str">
        <f>"1201090005123292"</f>
        <v>1201090005123292</v>
      </c>
      <c r="B1984" s="1" t="s">
        <v>7332</v>
      </c>
      <c r="C1984" s="1" t="s">
        <v>7333</v>
      </c>
      <c r="D1984" s="1" t="s">
        <v>7334</v>
      </c>
      <c r="E1984" s="1" t="s">
        <v>7335</v>
      </c>
      <c r="F1984" s="1" t="s">
        <v>178</v>
      </c>
      <c r="G1984" s="1">
        <v>400027</v>
      </c>
      <c r="H1984" s="1">
        <v>18.75</v>
      </c>
    </row>
    <row r="1985" spans="1:8" ht="21.75" customHeight="1">
      <c r="A1985" s="1" t="str">
        <f>"1203320002249231"</f>
        <v>1203320002249231</v>
      </c>
      <c r="B1985" s="1" t="s">
        <v>7336</v>
      </c>
      <c r="C1985" s="1" t="s">
        <v>7337</v>
      </c>
      <c r="D1985" s="1" t="s">
        <v>7338</v>
      </c>
      <c r="E1985" s="1" t="s">
        <v>7339</v>
      </c>
      <c r="F1985" s="1" t="s">
        <v>178</v>
      </c>
      <c r="G1985" s="1">
        <v>400029</v>
      </c>
      <c r="H1985" s="1">
        <v>1.5</v>
      </c>
    </row>
    <row r="1986" spans="1:8" ht="21.75" customHeight="1">
      <c r="A1986" s="1" t="str">
        <f>"IN30115122121984"</f>
        <v>IN30115122121984</v>
      </c>
      <c r="B1986" s="1" t="s">
        <v>7340</v>
      </c>
      <c r="C1986" s="1" t="s">
        <v>7341</v>
      </c>
      <c r="D1986" s="1" t="s">
        <v>7342</v>
      </c>
      <c r="E1986" s="1" t="s">
        <v>178</v>
      </c>
      <c r="F1986" s="1"/>
      <c r="G1986" s="1">
        <v>400031</v>
      </c>
      <c r="H1986" s="1">
        <v>37.5</v>
      </c>
    </row>
    <row r="1987" spans="1:8" ht="21.75" customHeight="1">
      <c r="A1987" s="1" t="str">
        <f>"IN30226911357184"</f>
        <v>IN30226911357184</v>
      </c>
      <c r="B1987" s="1" t="s">
        <v>7343</v>
      </c>
      <c r="C1987" s="1" t="s">
        <v>7344</v>
      </c>
      <c r="D1987" s="1" t="s">
        <v>7345</v>
      </c>
      <c r="E1987" s="1" t="s">
        <v>7346</v>
      </c>
      <c r="F1987" s="1"/>
      <c r="G1987" s="1">
        <v>400036</v>
      </c>
      <c r="H1987" s="1">
        <v>15</v>
      </c>
    </row>
    <row r="1988" spans="1:8" ht="21.75" customHeight="1">
      <c r="A1988" s="1" t="str">
        <f>"IN30051317247162"</f>
        <v>IN30051317247162</v>
      </c>
      <c r="B1988" s="1" t="s">
        <v>7347</v>
      </c>
      <c r="C1988" s="1" t="s">
        <v>7348</v>
      </c>
      <c r="D1988" s="1" t="s">
        <v>7349</v>
      </c>
      <c r="E1988" s="1" t="s">
        <v>7350</v>
      </c>
      <c r="F1988" s="1"/>
      <c r="G1988" s="1">
        <v>400037</v>
      </c>
      <c r="H1988" s="1">
        <v>3.75</v>
      </c>
    </row>
    <row r="1989" spans="1:8" ht="21.75" customHeight="1">
      <c r="A1989" s="1" t="str">
        <f>"IN30051319593954"</f>
        <v>IN30051319593954</v>
      </c>
      <c r="B1989" s="1" t="s">
        <v>7351</v>
      </c>
      <c r="C1989" s="1" t="s">
        <v>7352</v>
      </c>
      <c r="D1989" s="1" t="s">
        <v>7353</v>
      </c>
      <c r="E1989" s="1" t="s">
        <v>7354</v>
      </c>
      <c r="F1989" s="1"/>
      <c r="G1989" s="1">
        <v>400037</v>
      </c>
      <c r="H1989" s="1">
        <v>37.5</v>
      </c>
    </row>
    <row r="1990" spans="1:8" ht="21.75" customHeight="1">
      <c r="A1990" s="1" t="str">
        <f>"1301440003926178"</f>
        <v>1301440003926178</v>
      </c>
      <c r="B1990" s="1" t="s">
        <v>7355</v>
      </c>
      <c r="C1990" s="1" t="s">
        <v>7356</v>
      </c>
      <c r="D1990" s="1" t="s">
        <v>7357</v>
      </c>
      <c r="E1990" s="1" t="s">
        <v>7358</v>
      </c>
      <c r="F1990" s="1" t="s">
        <v>178</v>
      </c>
      <c r="G1990" s="1">
        <v>400043</v>
      </c>
      <c r="H1990" s="1">
        <v>0.75</v>
      </c>
    </row>
    <row r="1991" spans="1:8" ht="21.75" customHeight="1">
      <c r="A1991" s="1" t="str">
        <f>"IN30051320967085"</f>
        <v>IN30051320967085</v>
      </c>
      <c r="B1991" s="1" t="s">
        <v>7359</v>
      </c>
      <c r="C1991" s="1" t="s">
        <v>7360</v>
      </c>
      <c r="D1991" s="1" t="s">
        <v>7361</v>
      </c>
      <c r="E1991" s="1" t="s">
        <v>7362</v>
      </c>
      <c r="F1991" s="1"/>
      <c r="G1991" s="1">
        <v>400043</v>
      </c>
      <c r="H1991" s="1">
        <v>117</v>
      </c>
    </row>
    <row r="1992" spans="1:8" ht="21.75" customHeight="1">
      <c r="A1992" s="1" t="str">
        <f>"IN30038610172799"</f>
        <v>IN30038610172799</v>
      </c>
      <c r="B1992" s="1" t="s">
        <v>7363</v>
      </c>
      <c r="C1992" s="1" t="s">
        <v>7364</v>
      </c>
      <c r="D1992" s="1" t="s">
        <v>7365</v>
      </c>
      <c r="E1992" s="1" t="s">
        <v>7366</v>
      </c>
      <c r="F1992" s="1"/>
      <c r="G1992" s="1">
        <v>400043</v>
      </c>
      <c r="H1992" s="1">
        <v>37.5</v>
      </c>
    </row>
    <row r="1993" spans="1:8" ht="21.75" customHeight="1">
      <c r="A1993" s="1" t="str">
        <f>"IN30021410044800"</f>
        <v>IN30021410044800</v>
      </c>
      <c r="B1993" s="1" t="s">
        <v>7367</v>
      </c>
      <c r="C1993" s="1" t="s">
        <v>7368</v>
      </c>
      <c r="D1993" s="1" t="s">
        <v>7369</v>
      </c>
      <c r="E1993" s="1" t="s">
        <v>7370</v>
      </c>
      <c r="F1993" s="1"/>
      <c r="G1993" s="1">
        <v>400051</v>
      </c>
      <c r="H1993" s="1">
        <v>750</v>
      </c>
    </row>
    <row r="1994" spans="1:8" ht="21.75" customHeight="1">
      <c r="A1994" s="1" t="str">
        <f>"IN30216410363649"</f>
        <v>IN30216410363649</v>
      </c>
      <c r="B1994" s="1" t="s">
        <v>7371</v>
      </c>
      <c r="C1994" s="1" t="s">
        <v>7372</v>
      </c>
      <c r="D1994" s="1" t="s">
        <v>7373</v>
      </c>
      <c r="E1994" s="1" t="s">
        <v>7374</v>
      </c>
      <c r="F1994" s="1"/>
      <c r="G1994" s="1">
        <v>400052</v>
      </c>
      <c r="H1994" s="1">
        <v>135</v>
      </c>
    </row>
    <row r="1995" spans="1:8" ht="21.75" customHeight="1">
      <c r="A1995" s="1" t="str">
        <f>"IN30021410267572"</f>
        <v>IN30021410267572</v>
      </c>
      <c r="B1995" s="1" t="s">
        <v>7375</v>
      </c>
      <c r="C1995" s="1" t="s">
        <v>7376</v>
      </c>
      <c r="D1995" s="1" t="s">
        <v>7377</v>
      </c>
      <c r="E1995" s="1" t="s">
        <v>7378</v>
      </c>
      <c r="F1995" s="1"/>
      <c r="G1995" s="1">
        <v>400052</v>
      </c>
      <c r="H1995" s="1">
        <v>8.25</v>
      </c>
    </row>
    <row r="1996" spans="1:8" ht="21.75" customHeight="1">
      <c r="A1996" s="1" t="str">
        <f>"1201060000557272"</f>
        <v>1201060000557272</v>
      </c>
      <c r="B1996" s="1" t="s">
        <v>7379</v>
      </c>
      <c r="C1996" s="1" t="s">
        <v>7380</v>
      </c>
      <c r="D1996" s="1" t="s">
        <v>7381</v>
      </c>
      <c r="E1996" s="1" t="s">
        <v>7382</v>
      </c>
      <c r="F1996" s="1" t="s">
        <v>178</v>
      </c>
      <c r="G1996" s="1">
        <v>400053</v>
      </c>
      <c r="H1996" s="1">
        <v>22.5</v>
      </c>
    </row>
    <row r="1997" spans="1:8" ht="21.75" customHeight="1">
      <c r="A1997" s="1" t="str">
        <f>"IN30177415106451"</f>
        <v>IN30177415106451</v>
      </c>
      <c r="B1997" s="1" t="s">
        <v>7383</v>
      </c>
      <c r="C1997" s="1" t="s">
        <v>7384</v>
      </c>
      <c r="D1997" s="1" t="s">
        <v>7385</v>
      </c>
      <c r="E1997" s="1" t="s">
        <v>7386</v>
      </c>
      <c r="F1997" s="1"/>
      <c r="G1997" s="1">
        <v>400053</v>
      </c>
      <c r="H1997" s="1">
        <v>0.75</v>
      </c>
    </row>
    <row r="1998" spans="1:8" ht="21.75" customHeight="1">
      <c r="A1998" s="1" t="str">
        <f>"IN30051320788687"</f>
        <v>IN30051320788687</v>
      </c>
      <c r="B1998" s="1" t="s">
        <v>7387</v>
      </c>
      <c r="C1998" s="1" t="s">
        <v>7388</v>
      </c>
      <c r="D1998" s="1" t="s">
        <v>7389</v>
      </c>
      <c r="E1998" s="1" t="s">
        <v>7390</v>
      </c>
      <c r="F1998" s="1"/>
      <c r="G1998" s="1">
        <v>400060</v>
      </c>
      <c r="H1998" s="1">
        <v>75</v>
      </c>
    </row>
    <row r="1999" spans="1:8" ht="21.75" customHeight="1">
      <c r="A1999" s="1" t="str">
        <f>"IN30260310133873"</f>
        <v>IN30260310133873</v>
      </c>
      <c r="B1999" s="1" t="s">
        <v>7391</v>
      </c>
      <c r="C1999" s="1" t="s">
        <v>7392</v>
      </c>
      <c r="D1999" s="1" t="s">
        <v>7393</v>
      </c>
      <c r="E1999" s="1" t="s">
        <v>7394</v>
      </c>
      <c r="F1999" s="1"/>
      <c r="G1999" s="1">
        <v>400060</v>
      </c>
      <c r="H1999" s="1">
        <v>37.5</v>
      </c>
    </row>
    <row r="2000" spans="1:8" ht="21.75" customHeight="1">
      <c r="A2000" s="1" t="str">
        <f>"IN30018313219085"</f>
        <v>IN30018313219085</v>
      </c>
      <c r="B2000" s="1" t="s">
        <v>7395</v>
      </c>
      <c r="C2000" s="1" t="s">
        <v>7396</v>
      </c>
      <c r="D2000" s="1" t="s">
        <v>7397</v>
      </c>
      <c r="E2000" s="1" t="s">
        <v>7398</v>
      </c>
      <c r="F2000" s="1"/>
      <c r="G2000" s="1">
        <v>400063</v>
      </c>
      <c r="H2000" s="1">
        <v>60</v>
      </c>
    </row>
    <row r="2001" spans="1:8" ht="21.75" customHeight="1">
      <c r="A2001" s="1" t="str">
        <f>"IN30023912451107"</f>
        <v>IN30023912451107</v>
      </c>
      <c r="B2001" s="1" t="s">
        <v>7399</v>
      </c>
      <c r="C2001" s="1" t="s">
        <v>7400</v>
      </c>
      <c r="D2001" s="1" t="s">
        <v>7401</v>
      </c>
      <c r="E2001" s="1" t="s">
        <v>7318</v>
      </c>
      <c r="F2001" s="1"/>
      <c r="G2001" s="1">
        <v>400063</v>
      </c>
      <c r="H2001" s="1">
        <v>3</v>
      </c>
    </row>
    <row r="2002" spans="1:8" ht="21.75" customHeight="1">
      <c r="A2002" s="1" t="str">
        <f>"IN30051314672089"</f>
        <v>IN30051314672089</v>
      </c>
      <c r="B2002" s="1" t="s">
        <v>7402</v>
      </c>
      <c r="C2002" s="1" t="s">
        <v>7403</v>
      </c>
      <c r="D2002" s="1" t="s">
        <v>7404</v>
      </c>
      <c r="E2002" s="1" t="s">
        <v>7405</v>
      </c>
      <c r="F2002" s="1"/>
      <c r="G2002" s="1">
        <v>400065</v>
      </c>
      <c r="H2002" s="1">
        <v>37.5</v>
      </c>
    </row>
    <row r="2003" spans="1:8" ht="21.75" customHeight="1">
      <c r="A2003" s="1" t="str">
        <f>"1302080000020240"</f>
        <v>1302080000020240</v>
      </c>
      <c r="B2003" s="1" t="s">
        <v>7406</v>
      </c>
      <c r="C2003" s="1" t="s">
        <v>7407</v>
      </c>
      <c r="D2003" s="1" t="s">
        <v>7408</v>
      </c>
      <c r="E2003" s="1" t="s">
        <v>7409</v>
      </c>
      <c r="F2003" s="1" t="s">
        <v>2474</v>
      </c>
      <c r="G2003" s="1">
        <v>400066</v>
      </c>
      <c r="H2003" s="1">
        <v>15</v>
      </c>
    </row>
    <row r="2004" spans="1:8" ht="21.75" customHeight="1">
      <c r="A2004" s="1" t="str">
        <f>"IN30051310689889"</f>
        <v>IN30051310689889</v>
      </c>
      <c r="B2004" s="1" t="s">
        <v>7410</v>
      </c>
      <c r="C2004" s="1" t="s">
        <v>7411</v>
      </c>
      <c r="D2004" s="1" t="s">
        <v>7412</v>
      </c>
      <c r="E2004" s="1" t="s">
        <v>7413</v>
      </c>
      <c r="F2004" s="1"/>
      <c r="G2004" s="1">
        <v>400066</v>
      </c>
      <c r="H2004" s="1">
        <v>18.75</v>
      </c>
    </row>
    <row r="2005" spans="1:8" ht="21.75" customHeight="1">
      <c r="A2005" s="1" t="str">
        <f>"IN30034311095545"</f>
        <v>IN30034311095545</v>
      </c>
      <c r="B2005" s="1" t="s">
        <v>7414</v>
      </c>
      <c r="C2005" s="1" t="s">
        <v>7415</v>
      </c>
      <c r="D2005" s="1" t="s">
        <v>7416</v>
      </c>
      <c r="E2005" s="1" t="s">
        <v>7417</v>
      </c>
      <c r="F2005" s="1"/>
      <c r="G2005" s="1">
        <v>400067</v>
      </c>
      <c r="H2005" s="1">
        <v>112.5</v>
      </c>
    </row>
    <row r="2006" spans="1:8" ht="21.75" customHeight="1">
      <c r="A2006" s="1" t="str">
        <f>"1203320005991378"</f>
        <v>1203320005991378</v>
      </c>
      <c r="B2006" s="1" t="s">
        <v>7418</v>
      </c>
      <c r="C2006" s="1" t="s">
        <v>7419</v>
      </c>
      <c r="D2006" s="1" t="s">
        <v>7420</v>
      </c>
      <c r="E2006" s="1" t="s">
        <v>7421</v>
      </c>
      <c r="F2006" s="1" t="s">
        <v>178</v>
      </c>
      <c r="G2006" s="1">
        <v>400067</v>
      </c>
      <c r="H2006" s="1">
        <v>37.5</v>
      </c>
    </row>
    <row r="2007" spans="1:8" ht="21.75" customHeight="1">
      <c r="A2007" s="1" t="str">
        <f>"IN30135610038418"</f>
        <v>IN30135610038418</v>
      </c>
      <c r="B2007" s="1" t="s">
        <v>7422</v>
      </c>
      <c r="C2007" s="1" t="s">
        <v>7423</v>
      </c>
      <c r="D2007" s="1" t="s">
        <v>7424</v>
      </c>
      <c r="E2007" s="1" t="s">
        <v>7425</v>
      </c>
      <c r="F2007" s="1"/>
      <c r="G2007" s="1">
        <v>400067</v>
      </c>
      <c r="H2007" s="1">
        <v>37.5</v>
      </c>
    </row>
    <row r="2008" spans="1:8" ht="21.75" customHeight="1">
      <c r="A2008" s="1" t="str">
        <f>"IN30047610101985"</f>
        <v>IN30047610101985</v>
      </c>
      <c r="B2008" s="1" t="s">
        <v>7426</v>
      </c>
      <c r="C2008" s="1" t="s">
        <v>7427</v>
      </c>
      <c r="D2008" s="1" t="s">
        <v>7428</v>
      </c>
      <c r="E2008" s="1" t="s">
        <v>7429</v>
      </c>
      <c r="F2008" s="1"/>
      <c r="G2008" s="1">
        <v>400071</v>
      </c>
      <c r="H2008" s="1">
        <v>1500</v>
      </c>
    </row>
    <row r="2009" spans="1:8" ht="21.75" customHeight="1">
      <c r="A2009" s="1" t="str">
        <f>"IN30154914866314"</f>
        <v>IN30154914866314</v>
      </c>
      <c r="B2009" s="1" t="s">
        <v>7430</v>
      </c>
      <c r="C2009" s="1" t="s">
        <v>7431</v>
      </c>
      <c r="D2009" s="1" t="s">
        <v>7432</v>
      </c>
      <c r="E2009" s="1" t="s">
        <v>7433</v>
      </c>
      <c r="F2009" s="1"/>
      <c r="G2009" s="1">
        <v>400071</v>
      </c>
      <c r="H2009" s="1">
        <v>999</v>
      </c>
    </row>
    <row r="2010" spans="1:8" ht="21.75" customHeight="1">
      <c r="A2010" s="1" t="str">
        <f>"IN30051318521938"</f>
        <v>IN30051318521938</v>
      </c>
      <c r="B2010" s="1" t="s">
        <v>7434</v>
      </c>
      <c r="C2010" s="1" t="s">
        <v>7435</v>
      </c>
      <c r="D2010" s="1" t="s">
        <v>7436</v>
      </c>
      <c r="E2010" s="1" t="s">
        <v>7437</v>
      </c>
      <c r="F2010" s="1"/>
      <c r="G2010" s="1">
        <v>400071</v>
      </c>
      <c r="H2010" s="1">
        <v>337.5</v>
      </c>
    </row>
    <row r="2011" spans="1:8" ht="21.75" customHeight="1">
      <c r="A2011" s="1" t="str">
        <f>"1203500000020489"</f>
        <v>1203500000020489</v>
      </c>
      <c r="B2011" s="1" t="s">
        <v>7438</v>
      </c>
      <c r="C2011" s="1" t="s">
        <v>7439</v>
      </c>
      <c r="D2011" s="1" t="s">
        <v>7440</v>
      </c>
      <c r="E2011" s="1" t="s">
        <v>7441</v>
      </c>
      <c r="F2011" s="1" t="s">
        <v>178</v>
      </c>
      <c r="G2011" s="1">
        <v>400072</v>
      </c>
      <c r="H2011" s="1">
        <v>0.75</v>
      </c>
    </row>
    <row r="2012" spans="1:8" ht="21.75" customHeight="1">
      <c r="A2012" s="1" t="str">
        <f>"1301240003713535"</f>
        <v>1301240003713535</v>
      </c>
      <c r="B2012" s="1" t="s">
        <v>7442</v>
      </c>
      <c r="C2012" s="1" t="s">
        <v>7443</v>
      </c>
      <c r="D2012" s="1" t="s">
        <v>7444</v>
      </c>
      <c r="E2012" s="1" t="s">
        <v>7445</v>
      </c>
      <c r="F2012" s="1" t="s">
        <v>178</v>
      </c>
      <c r="G2012" s="1">
        <v>400077</v>
      </c>
      <c r="H2012" s="1">
        <v>150</v>
      </c>
    </row>
    <row r="2013" spans="1:8" ht="21.75" customHeight="1">
      <c r="A2013" s="1" t="str">
        <f>"IN30051383409284"</f>
        <v>IN30051383409284</v>
      </c>
      <c r="B2013" s="1" t="s">
        <v>7446</v>
      </c>
      <c r="C2013" s="1" t="s">
        <v>7447</v>
      </c>
      <c r="D2013" s="1" t="s">
        <v>7448</v>
      </c>
      <c r="E2013" s="1" t="s">
        <v>7449</v>
      </c>
      <c r="F2013" s="1"/>
      <c r="G2013" s="1">
        <v>400078</v>
      </c>
      <c r="H2013" s="1">
        <v>11.25</v>
      </c>
    </row>
    <row r="2014" spans="1:8" ht="21.75" customHeight="1">
      <c r="A2014" s="1" t="str">
        <f>"IN30160410457512"</f>
        <v>IN30160410457512</v>
      </c>
      <c r="B2014" s="1" t="s">
        <v>7450</v>
      </c>
      <c r="C2014" s="1" t="s">
        <v>7451</v>
      </c>
      <c r="D2014" s="1" t="s">
        <v>7452</v>
      </c>
      <c r="E2014" s="1" t="s">
        <v>7453</v>
      </c>
      <c r="F2014" s="1"/>
      <c r="G2014" s="1">
        <v>400078</v>
      </c>
      <c r="H2014" s="1">
        <v>18.75</v>
      </c>
    </row>
    <row r="2015" spans="1:8" ht="21.75" customHeight="1">
      <c r="A2015" s="1" t="str">
        <f>"1201090006332965"</f>
        <v>1201090006332965</v>
      </c>
      <c r="B2015" s="1" t="s">
        <v>7454</v>
      </c>
      <c r="C2015" s="1" t="s">
        <v>7455</v>
      </c>
      <c r="D2015" s="1" t="s">
        <v>7456</v>
      </c>
      <c r="E2015" s="1" t="s">
        <v>7457</v>
      </c>
      <c r="F2015" s="1" t="s">
        <v>178</v>
      </c>
      <c r="G2015" s="1">
        <v>400078</v>
      </c>
      <c r="H2015" s="1">
        <v>67.5</v>
      </c>
    </row>
    <row r="2016" spans="1:8" ht="21.75" customHeight="1">
      <c r="A2016" s="1" t="str">
        <f>"IN30133019024046"</f>
        <v>IN30133019024046</v>
      </c>
      <c r="B2016" s="1" t="s">
        <v>7458</v>
      </c>
      <c r="C2016" s="1" t="s">
        <v>7459</v>
      </c>
      <c r="D2016" s="1"/>
      <c r="E2016" s="1" t="s">
        <v>7460</v>
      </c>
      <c r="F2016" s="1"/>
      <c r="G2016" s="1">
        <v>400079</v>
      </c>
      <c r="H2016" s="1">
        <v>37.5</v>
      </c>
    </row>
    <row r="2017" spans="1:8" ht="21.75" customHeight="1">
      <c r="A2017" s="1" t="str">
        <f>"IN30051316600770"</f>
        <v>IN30051316600770</v>
      </c>
      <c r="B2017" s="1" t="s">
        <v>7461</v>
      </c>
      <c r="C2017" s="1" t="s">
        <v>7462</v>
      </c>
      <c r="D2017" s="1" t="s">
        <v>7463</v>
      </c>
      <c r="E2017" s="1" t="s">
        <v>813</v>
      </c>
      <c r="F2017" s="1"/>
      <c r="G2017" s="1">
        <v>400080</v>
      </c>
      <c r="H2017" s="1">
        <v>3</v>
      </c>
    </row>
    <row r="2018" spans="1:8" ht="21.75" customHeight="1">
      <c r="A2018" s="1" t="str">
        <f>"IN30226912551524"</f>
        <v>IN30226912551524</v>
      </c>
      <c r="B2018" s="1" t="s">
        <v>7464</v>
      </c>
      <c r="C2018" s="1" t="s">
        <v>7465</v>
      </c>
      <c r="D2018" s="1" t="s">
        <v>7466</v>
      </c>
      <c r="E2018" s="1" t="s">
        <v>7467</v>
      </c>
      <c r="F2018" s="1"/>
      <c r="G2018" s="1">
        <v>400081</v>
      </c>
      <c r="H2018" s="1">
        <v>42.75</v>
      </c>
    </row>
    <row r="2019" spans="1:8" ht="21.75" customHeight="1">
      <c r="A2019" s="1" t="str">
        <f>"IN30051323333677"</f>
        <v>IN30051323333677</v>
      </c>
      <c r="B2019" s="1" t="s">
        <v>7468</v>
      </c>
      <c r="C2019" s="1" t="s">
        <v>7469</v>
      </c>
      <c r="D2019" s="1" t="s">
        <v>7470</v>
      </c>
      <c r="E2019" s="1" t="s">
        <v>7471</v>
      </c>
      <c r="F2019" s="1"/>
      <c r="G2019" s="1">
        <v>400083</v>
      </c>
      <c r="H2019" s="1">
        <v>93.75</v>
      </c>
    </row>
    <row r="2020" spans="1:8" ht="21.75" customHeight="1">
      <c r="A2020" s="1" t="str">
        <f>"1208160007130138"</f>
        <v>1208160007130138</v>
      </c>
      <c r="B2020" s="1" t="s">
        <v>7472</v>
      </c>
      <c r="C2020" s="1" t="s">
        <v>7473</v>
      </c>
      <c r="D2020" s="1" t="s">
        <v>7474</v>
      </c>
      <c r="E2020" s="1"/>
      <c r="F2020" s="1" t="s">
        <v>178</v>
      </c>
      <c r="G2020" s="1">
        <v>400089</v>
      </c>
      <c r="H2020" s="1">
        <v>0.75</v>
      </c>
    </row>
    <row r="2021" spans="1:8" ht="21.75" customHeight="1">
      <c r="A2021" s="1" t="str">
        <f>"1203030000053840"</f>
        <v>1203030000053840</v>
      </c>
      <c r="B2021" s="1" t="s">
        <v>7475</v>
      </c>
      <c r="C2021" s="1" t="s">
        <v>7476</v>
      </c>
      <c r="D2021" s="1" t="s">
        <v>7477</v>
      </c>
      <c r="E2021" s="1" t="s">
        <v>7478</v>
      </c>
      <c r="F2021" s="1" t="s">
        <v>178</v>
      </c>
      <c r="G2021" s="1">
        <v>400092</v>
      </c>
      <c r="H2021" s="1">
        <v>48.75</v>
      </c>
    </row>
    <row r="2022" spans="1:8" ht="21.75" customHeight="1">
      <c r="A2022" s="1" t="str">
        <f>"1204470001824288"</f>
        <v>1204470001824288</v>
      </c>
      <c r="B2022" s="1" t="s">
        <v>7479</v>
      </c>
      <c r="C2022" s="1" t="s">
        <v>7480</v>
      </c>
      <c r="D2022" s="1" t="s">
        <v>7481</v>
      </c>
      <c r="E2022" s="1"/>
      <c r="F2022" s="1" t="s">
        <v>178</v>
      </c>
      <c r="G2022" s="1">
        <v>400094</v>
      </c>
      <c r="H2022" s="1">
        <v>37.5</v>
      </c>
    </row>
    <row r="2023" spans="1:8" ht="21.75" customHeight="1">
      <c r="A2023" s="1" t="str">
        <f>"1208160000539345"</f>
        <v>1208160000539345</v>
      </c>
      <c r="B2023" s="1" t="s">
        <v>7482</v>
      </c>
      <c r="C2023" s="1" t="s">
        <v>7483</v>
      </c>
      <c r="D2023" s="1" t="s">
        <v>7484</v>
      </c>
      <c r="E2023" s="1" t="s">
        <v>7485</v>
      </c>
      <c r="F2023" s="1" t="s">
        <v>178</v>
      </c>
      <c r="G2023" s="1">
        <v>400095</v>
      </c>
      <c r="H2023" s="1">
        <v>7.5</v>
      </c>
    </row>
    <row r="2024" spans="1:8" ht="21.75" customHeight="1">
      <c r="A2024" s="1" t="str">
        <f>"IN30021412925829"</f>
        <v>IN30021412925829</v>
      </c>
      <c r="B2024" s="1" t="s">
        <v>7486</v>
      </c>
      <c r="C2024" s="1" t="s">
        <v>7487</v>
      </c>
      <c r="D2024" s="1" t="s">
        <v>7488</v>
      </c>
      <c r="E2024" s="1" t="s">
        <v>2425</v>
      </c>
      <c r="F2024" s="1"/>
      <c r="G2024" s="1">
        <v>400099</v>
      </c>
      <c r="H2024" s="1">
        <v>37.5</v>
      </c>
    </row>
    <row r="2025" spans="1:8" ht="21.75" customHeight="1">
      <c r="A2025" s="1" t="str">
        <f>"IN30021435528720"</f>
        <v>IN30021435528720</v>
      </c>
      <c r="B2025" s="1" t="s">
        <v>7489</v>
      </c>
      <c r="C2025" s="1" t="s">
        <v>7490</v>
      </c>
      <c r="D2025" s="1" t="s">
        <v>7491</v>
      </c>
      <c r="E2025" s="1" t="s">
        <v>7492</v>
      </c>
      <c r="F2025" s="1"/>
      <c r="G2025" s="1">
        <v>400101</v>
      </c>
      <c r="H2025" s="1">
        <v>3.75</v>
      </c>
    </row>
    <row r="2026" spans="1:8" ht="21.75" customHeight="1">
      <c r="A2026" s="1" t="str">
        <f>"IN30247040168115"</f>
        <v>IN30247040168115</v>
      </c>
      <c r="B2026" s="1" t="s">
        <v>7493</v>
      </c>
      <c r="C2026" s="1" t="s">
        <v>7494</v>
      </c>
      <c r="D2026" s="1" t="s">
        <v>7495</v>
      </c>
      <c r="E2026" s="1" t="s">
        <v>7496</v>
      </c>
      <c r="F2026" s="1"/>
      <c r="G2026" s="1">
        <v>400102</v>
      </c>
      <c r="H2026" s="1">
        <v>7.5</v>
      </c>
    </row>
    <row r="2027" spans="1:8" ht="21.75" customHeight="1">
      <c r="A2027" s="1" t="str">
        <f>"1203230001697876"</f>
        <v>1203230001697876</v>
      </c>
      <c r="B2027" s="1" t="s">
        <v>7497</v>
      </c>
      <c r="C2027" s="1" t="s">
        <v>7498</v>
      </c>
      <c r="D2027" s="1" t="s">
        <v>7499</v>
      </c>
      <c r="E2027" s="1" t="s">
        <v>7500</v>
      </c>
      <c r="F2027" s="1" t="s">
        <v>178</v>
      </c>
      <c r="G2027" s="1">
        <v>400104</v>
      </c>
      <c r="H2027" s="1">
        <v>94.5</v>
      </c>
    </row>
    <row r="2028" spans="1:8" ht="21.75" customHeight="1">
      <c r="A2028" s="1" t="str">
        <f>"1203320000747580"</f>
        <v>1203320000747580</v>
      </c>
      <c r="B2028" s="1" t="s">
        <v>7501</v>
      </c>
      <c r="C2028" s="1" t="s">
        <v>7502</v>
      </c>
      <c r="D2028" s="1" t="s">
        <v>7503</v>
      </c>
      <c r="E2028" s="1" t="s">
        <v>7504</v>
      </c>
      <c r="F2028" s="1" t="s">
        <v>222</v>
      </c>
      <c r="G2028" s="1">
        <v>400601</v>
      </c>
      <c r="H2028" s="1">
        <v>150</v>
      </c>
    </row>
    <row r="2029" spans="1:8" ht="21.75" customHeight="1">
      <c r="A2029" s="1" t="str">
        <f>"1202890000772802"</f>
        <v>1202890000772802</v>
      </c>
      <c r="B2029" s="1" t="s">
        <v>7505</v>
      </c>
      <c r="C2029" s="1" t="s">
        <v>7506</v>
      </c>
      <c r="D2029" s="1" t="s">
        <v>7507</v>
      </c>
      <c r="E2029" s="1" t="s">
        <v>7508</v>
      </c>
      <c r="F2029" s="1" t="s">
        <v>178</v>
      </c>
      <c r="G2029" s="1">
        <v>400601</v>
      </c>
      <c r="H2029" s="1">
        <v>37.5</v>
      </c>
    </row>
    <row r="2030" spans="1:8" ht="21.75" customHeight="1">
      <c r="A2030" s="1" t="str">
        <f>"1204720011038385"</f>
        <v>1204720011038385</v>
      </c>
      <c r="B2030" s="1" t="s">
        <v>7509</v>
      </c>
      <c r="C2030" s="1" t="s">
        <v>7510</v>
      </c>
      <c r="D2030" s="1" t="s">
        <v>7511</v>
      </c>
      <c r="E2030" s="1" t="s">
        <v>7512</v>
      </c>
      <c r="F2030" s="1" t="s">
        <v>7513</v>
      </c>
      <c r="G2030" s="1">
        <v>400604</v>
      </c>
      <c r="H2030" s="1">
        <v>13.5</v>
      </c>
    </row>
    <row r="2031" spans="1:8" ht="21.75" customHeight="1">
      <c r="A2031" s="1" t="str">
        <f>"IN30311610889523"</f>
        <v>IN30311610889523</v>
      </c>
      <c r="B2031" s="1" t="s">
        <v>7514</v>
      </c>
      <c r="C2031" s="1" t="s">
        <v>7515</v>
      </c>
      <c r="D2031" s="1" t="s">
        <v>7516</v>
      </c>
      <c r="E2031" s="1" t="s">
        <v>7517</v>
      </c>
      <c r="F2031" s="1"/>
      <c r="G2031" s="1">
        <v>400606</v>
      </c>
      <c r="H2031" s="1">
        <v>145.5</v>
      </c>
    </row>
    <row r="2032" spans="1:8" ht="21.75" customHeight="1">
      <c r="A2032" s="1" t="str">
        <f>"1203600001100258"</f>
        <v>1203600001100258</v>
      </c>
      <c r="B2032" s="1" t="s">
        <v>7518</v>
      </c>
      <c r="C2032" s="1" t="s">
        <v>7519</v>
      </c>
      <c r="D2032" s="1" t="s">
        <v>7520</v>
      </c>
      <c r="E2032" s="1" t="s">
        <v>7521</v>
      </c>
      <c r="F2032" s="1" t="s">
        <v>222</v>
      </c>
      <c r="G2032" s="1">
        <v>400612</v>
      </c>
      <c r="H2032" s="1">
        <v>75</v>
      </c>
    </row>
    <row r="2033" spans="1:8" ht="21.75" customHeight="1">
      <c r="A2033" s="1" t="str">
        <f>"1201120000274270"</f>
        <v>1201120000274270</v>
      </c>
      <c r="B2033" s="1" t="s">
        <v>7522</v>
      </c>
      <c r="C2033" s="1" t="s">
        <v>7523</v>
      </c>
      <c r="D2033" s="1" t="s">
        <v>7524</v>
      </c>
      <c r="E2033" s="1" t="s">
        <v>792</v>
      </c>
      <c r="F2033" s="1" t="s">
        <v>793</v>
      </c>
      <c r="G2033" s="1">
        <v>400614</v>
      </c>
      <c r="H2033" s="1">
        <v>637.5</v>
      </c>
    </row>
    <row r="2034" spans="1:8" ht="21.75" customHeight="1">
      <c r="A2034" s="1" t="str">
        <f>"IN30051315045263"</f>
        <v>IN30051315045263</v>
      </c>
      <c r="B2034" s="1" t="s">
        <v>7525</v>
      </c>
      <c r="C2034" s="1" t="s">
        <v>7526</v>
      </c>
      <c r="D2034" s="1" t="s">
        <v>7527</v>
      </c>
      <c r="E2034" s="1" t="s">
        <v>7528</v>
      </c>
      <c r="F2034" s="1"/>
      <c r="G2034" s="1">
        <v>400702</v>
      </c>
      <c r="H2034" s="1">
        <v>60</v>
      </c>
    </row>
    <row r="2035" spans="1:8" ht="21.75" customHeight="1">
      <c r="A2035" s="1" t="str">
        <f>"1201090001657531"</f>
        <v>1201090001657531</v>
      </c>
      <c r="B2035" s="1" t="s">
        <v>7529</v>
      </c>
      <c r="C2035" s="1" t="s">
        <v>7530</v>
      </c>
      <c r="D2035" s="1" t="s">
        <v>7531</v>
      </c>
      <c r="E2035" s="1" t="s">
        <v>792</v>
      </c>
      <c r="F2035" s="1" t="s">
        <v>793</v>
      </c>
      <c r="G2035" s="1">
        <v>400705</v>
      </c>
      <c r="H2035" s="1">
        <v>11.25</v>
      </c>
    </row>
    <row r="2036" spans="1:8" ht="21.75" customHeight="1">
      <c r="A2036" s="1" t="str">
        <f>"IN30051312887544"</f>
        <v>IN30051312887544</v>
      </c>
      <c r="B2036" s="1" t="s">
        <v>7532</v>
      </c>
      <c r="C2036" s="1" t="s">
        <v>7533</v>
      </c>
      <c r="D2036" s="1" t="s">
        <v>7534</v>
      </c>
      <c r="E2036" s="1" t="s">
        <v>7535</v>
      </c>
      <c r="F2036" s="1"/>
      <c r="G2036" s="1">
        <v>400706</v>
      </c>
      <c r="H2036" s="1">
        <v>2.25</v>
      </c>
    </row>
    <row r="2037" spans="1:8" ht="21.75" customHeight="1">
      <c r="A2037" s="1" t="str">
        <f>"IN30197510040012"</f>
        <v>IN30197510040012</v>
      </c>
      <c r="B2037" s="1" t="s">
        <v>7536</v>
      </c>
      <c r="C2037" s="1" t="s">
        <v>7537</v>
      </c>
      <c r="D2037" s="1" t="s">
        <v>7538</v>
      </c>
      <c r="E2037" s="1" t="s">
        <v>7539</v>
      </c>
      <c r="F2037" s="1"/>
      <c r="G2037" s="1">
        <v>400709</v>
      </c>
      <c r="H2037" s="1">
        <v>150</v>
      </c>
    </row>
    <row r="2038" spans="1:8" ht="21.75" customHeight="1">
      <c r="A2038" s="1" t="str">
        <f>"IN30051320309943"</f>
        <v>IN30051320309943</v>
      </c>
      <c r="B2038" s="1" t="s">
        <v>7540</v>
      </c>
      <c r="C2038" s="1" t="s">
        <v>7541</v>
      </c>
      <c r="D2038" s="1" t="s">
        <v>7542</v>
      </c>
      <c r="E2038" s="1" t="s">
        <v>7543</v>
      </c>
      <c r="F2038" s="1"/>
      <c r="G2038" s="1">
        <v>401107</v>
      </c>
      <c r="H2038" s="1">
        <v>2.25</v>
      </c>
    </row>
    <row r="2039" spans="1:8" ht="21.75" customHeight="1">
      <c r="A2039" s="1" t="str">
        <f>"1201090001894859"</f>
        <v>1201090001894859</v>
      </c>
      <c r="B2039" s="1" t="s">
        <v>7544</v>
      </c>
      <c r="C2039" s="1" t="s">
        <v>7545</v>
      </c>
      <c r="D2039" s="1" t="s">
        <v>7546</v>
      </c>
      <c r="E2039" s="1" t="s">
        <v>7547</v>
      </c>
      <c r="F2039" s="1" t="s">
        <v>178</v>
      </c>
      <c r="G2039" s="1">
        <v>401107</v>
      </c>
      <c r="H2039" s="1">
        <v>10.5</v>
      </c>
    </row>
    <row r="2040" spans="1:8" ht="21.75" customHeight="1">
      <c r="A2040" s="1" t="str">
        <f>"IN30021411997931"</f>
        <v>IN30021411997931</v>
      </c>
      <c r="B2040" s="1" t="s">
        <v>7548</v>
      </c>
      <c r="C2040" s="1" t="s">
        <v>7549</v>
      </c>
      <c r="D2040" s="1" t="s">
        <v>7550</v>
      </c>
      <c r="E2040" s="1" t="s">
        <v>7551</v>
      </c>
      <c r="F2040" s="1"/>
      <c r="G2040" s="1">
        <v>401107</v>
      </c>
      <c r="H2040" s="1">
        <v>37.5</v>
      </c>
    </row>
    <row r="2041" spans="1:8" ht="21.75" customHeight="1">
      <c r="A2041" s="1" t="str">
        <f>"1203760000728659"</f>
        <v>1203760000728659</v>
      </c>
      <c r="B2041" s="1" t="s">
        <v>7552</v>
      </c>
      <c r="C2041" s="1" t="s">
        <v>7553</v>
      </c>
      <c r="D2041" s="1" t="s">
        <v>7554</v>
      </c>
      <c r="E2041" s="1" t="s">
        <v>7555</v>
      </c>
      <c r="F2041" s="1" t="s">
        <v>222</v>
      </c>
      <c r="G2041" s="1">
        <v>401201</v>
      </c>
      <c r="H2041" s="1">
        <v>0.75</v>
      </c>
    </row>
    <row r="2042" spans="1:8" ht="21.75" customHeight="1">
      <c r="A2042" s="1" t="str">
        <f>"1202700000433833"</f>
        <v>1202700000433833</v>
      </c>
      <c r="B2042" s="1" t="s">
        <v>7556</v>
      </c>
      <c r="C2042" s="1" t="s">
        <v>7557</v>
      </c>
      <c r="D2042" s="1" t="s">
        <v>7558</v>
      </c>
      <c r="E2042" s="1" t="s">
        <v>7559</v>
      </c>
      <c r="F2042" s="1" t="s">
        <v>222</v>
      </c>
      <c r="G2042" s="1">
        <v>401202</v>
      </c>
      <c r="H2042" s="1">
        <v>75</v>
      </c>
    </row>
    <row r="2043" spans="1:8" ht="21.75" customHeight="1">
      <c r="A2043" s="1" t="str">
        <f>"1204150000016620"</f>
        <v>1204150000016620</v>
      </c>
      <c r="B2043" s="1" t="s">
        <v>7560</v>
      </c>
      <c r="C2043" s="1" t="s">
        <v>7561</v>
      </c>
      <c r="D2043" s="1" t="s">
        <v>7562</v>
      </c>
      <c r="E2043" s="1" t="s">
        <v>7563</v>
      </c>
      <c r="F2043" s="1" t="s">
        <v>2617</v>
      </c>
      <c r="G2043" s="1">
        <v>401202</v>
      </c>
      <c r="H2043" s="1">
        <v>30</v>
      </c>
    </row>
    <row r="2044" spans="1:8" ht="21.75" customHeight="1">
      <c r="A2044" s="1" t="str">
        <f>"IN30160410213312"</f>
        <v>IN30160410213312</v>
      </c>
      <c r="B2044" s="1" t="s">
        <v>7564</v>
      </c>
      <c r="C2044" s="1" t="s">
        <v>7565</v>
      </c>
      <c r="D2044" s="1" t="s">
        <v>7566</v>
      </c>
      <c r="E2044" s="1" t="s">
        <v>7567</v>
      </c>
      <c r="F2044" s="1"/>
      <c r="G2044" s="1">
        <v>401301</v>
      </c>
      <c r="H2044" s="1">
        <v>75</v>
      </c>
    </row>
    <row r="2045" spans="1:8" ht="21.75" customHeight="1">
      <c r="A2045" s="1" t="str">
        <f>"IN30160410305138"</f>
        <v>IN30160410305138</v>
      </c>
      <c r="B2045" s="1" t="s">
        <v>7569</v>
      </c>
      <c r="C2045" s="1" t="s">
        <v>7570</v>
      </c>
      <c r="D2045" s="1" t="s">
        <v>7571</v>
      </c>
      <c r="E2045" s="1" t="s">
        <v>7572</v>
      </c>
      <c r="F2045" s="1"/>
      <c r="G2045" s="1">
        <v>401301</v>
      </c>
      <c r="H2045" s="1">
        <v>187.5</v>
      </c>
    </row>
    <row r="2046" spans="1:8" ht="21.75" customHeight="1">
      <c r="A2046" s="1" t="str">
        <f>"IN30051317065446"</f>
        <v>IN30051317065446</v>
      </c>
      <c r="B2046" s="1" t="s">
        <v>7573</v>
      </c>
      <c r="C2046" s="1" t="s">
        <v>7574</v>
      </c>
      <c r="D2046" s="1" t="s">
        <v>7575</v>
      </c>
      <c r="E2046" s="1" t="s">
        <v>7576</v>
      </c>
      <c r="F2046" s="1"/>
      <c r="G2046" s="1">
        <v>401303</v>
      </c>
      <c r="H2046" s="1">
        <v>18.75</v>
      </c>
    </row>
    <row r="2047" spans="1:8" ht="21.75" customHeight="1">
      <c r="A2047" s="1" t="str">
        <f>"1204470000971034"</f>
        <v>1204470000971034</v>
      </c>
      <c r="B2047" s="1" t="s">
        <v>7577</v>
      </c>
      <c r="C2047" s="1" t="s">
        <v>7578</v>
      </c>
      <c r="D2047" s="1" t="s">
        <v>7579</v>
      </c>
      <c r="E2047" s="1" t="s">
        <v>7568</v>
      </c>
      <c r="F2047" s="1" t="s">
        <v>7580</v>
      </c>
      <c r="G2047" s="1">
        <v>401501</v>
      </c>
      <c r="H2047" s="1">
        <v>225</v>
      </c>
    </row>
    <row r="2048" spans="1:8" ht="21.75" customHeight="1">
      <c r="A2048" s="1" t="str">
        <f>"1204470004470627"</f>
        <v>1204470004470627</v>
      </c>
      <c r="B2048" s="1" t="s">
        <v>7581</v>
      </c>
      <c r="C2048" s="1" t="s">
        <v>7582</v>
      </c>
      <c r="D2048" s="1" t="s">
        <v>7583</v>
      </c>
      <c r="E2048" s="1"/>
      <c r="F2048" s="1" t="s">
        <v>7580</v>
      </c>
      <c r="G2048" s="1">
        <v>401501</v>
      </c>
      <c r="H2048" s="1">
        <v>51</v>
      </c>
    </row>
    <row r="2049" spans="1:8" ht="21.75" customHeight="1">
      <c r="A2049" s="1" t="str">
        <f>"1201090002762447"</f>
        <v>1201090002762447</v>
      </c>
      <c r="B2049" s="1" t="s">
        <v>7584</v>
      </c>
      <c r="C2049" s="1" t="s">
        <v>7585</v>
      </c>
      <c r="D2049" s="1" t="s">
        <v>7586</v>
      </c>
      <c r="E2049" s="1"/>
      <c r="F2049" s="1" t="s">
        <v>7587</v>
      </c>
      <c r="G2049" s="1">
        <v>401701</v>
      </c>
      <c r="H2049" s="1">
        <v>37.5</v>
      </c>
    </row>
    <row r="2050" spans="1:8" ht="21.75" customHeight="1">
      <c r="A2050" s="1" t="str">
        <f>"IN30247040130977"</f>
        <v>IN30247040130977</v>
      </c>
      <c r="B2050" s="1" t="s">
        <v>7588</v>
      </c>
      <c r="C2050" s="1" t="s">
        <v>7589</v>
      </c>
      <c r="D2050" s="1" t="s">
        <v>7590</v>
      </c>
      <c r="E2050" s="1" t="s">
        <v>7591</v>
      </c>
      <c r="F2050" s="1"/>
      <c r="G2050" s="1">
        <v>402106</v>
      </c>
      <c r="H2050" s="1">
        <v>3</v>
      </c>
    </row>
    <row r="2051" spans="1:8" ht="21.75" customHeight="1">
      <c r="A2051" s="1" t="str">
        <f>"IN30247040120522"</f>
        <v>IN30247040120522</v>
      </c>
      <c r="B2051" s="1" t="s">
        <v>7592</v>
      </c>
      <c r="C2051" s="1" t="s">
        <v>7593</v>
      </c>
      <c r="D2051" s="1"/>
      <c r="E2051" s="1" t="s">
        <v>7591</v>
      </c>
      <c r="F2051" s="1"/>
      <c r="G2051" s="1">
        <v>402125</v>
      </c>
      <c r="H2051" s="1">
        <v>66</v>
      </c>
    </row>
    <row r="2052" spans="1:8" ht="21.75" customHeight="1">
      <c r="A2052" s="1" t="str">
        <f>"IN30177412079575"</f>
        <v>IN30177412079575</v>
      </c>
      <c r="B2052" s="1" t="s">
        <v>7594</v>
      </c>
      <c r="C2052" s="1" t="s">
        <v>7595</v>
      </c>
      <c r="D2052" s="1" t="s">
        <v>7596</v>
      </c>
      <c r="E2052" s="1" t="s">
        <v>7597</v>
      </c>
      <c r="F2052" s="1"/>
      <c r="G2052" s="1">
        <v>403401</v>
      </c>
      <c r="H2052" s="1">
        <v>15</v>
      </c>
    </row>
    <row r="2053" spans="1:8" ht="21.75" customHeight="1">
      <c r="A2053" s="1" t="str">
        <f>"1208160091421003"</f>
        <v>1208160091421003</v>
      </c>
      <c r="B2053" s="1" t="s">
        <v>7598</v>
      </c>
      <c r="C2053" s="1" t="s">
        <v>7599</v>
      </c>
      <c r="D2053" s="1" t="s">
        <v>7600</v>
      </c>
      <c r="E2053" s="1"/>
      <c r="F2053" s="1" t="s">
        <v>2642</v>
      </c>
      <c r="G2053" s="1">
        <v>403602</v>
      </c>
      <c r="H2053" s="1">
        <v>11.25</v>
      </c>
    </row>
    <row r="2054" spans="1:8" ht="21.75" customHeight="1">
      <c r="A2054" s="1" t="str">
        <f>"IN30051313651717"</f>
        <v>IN30051313651717</v>
      </c>
      <c r="B2054" s="1" t="s">
        <v>7601</v>
      </c>
      <c r="C2054" s="1" t="s">
        <v>7602</v>
      </c>
      <c r="D2054" s="1" t="s">
        <v>7603</v>
      </c>
      <c r="E2054" s="1" t="s">
        <v>793</v>
      </c>
      <c r="F2054" s="1"/>
      <c r="G2054" s="1">
        <v>410206</v>
      </c>
      <c r="H2054" s="1">
        <v>75</v>
      </c>
    </row>
    <row r="2055" spans="1:8" ht="21.75" customHeight="1">
      <c r="A2055" s="1" t="str">
        <f>"IN30045013669733"</f>
        <v>IN30045013669733</v>
      </c>
      <c r="B2055" s="1" t="s">
        <v>7604</v>
      </c>
      <c r="C2055" s="1" t="s">
        <v>7605</v>
      </c>
      <c r="D2055" s="1" t="s">
        <v>7606</v>
      </c>
      <c r="E2055" s="1" t="s">
        <v>7607</v>
      </c>
      <c r="F2055" s="1"/>
      <c r="G2055" s="1">
        <v>410206</v>
      </c>
      <c r="H2055" s="1">
        <v>744</v>
      </c>
    </row>
    <row r="2056" spans="1:8" ht="21.75" customHeight="1">
      <c r="A2056" s="1" t="str">
        <f>"1203600000830746"</f>
        <v>1203600000830746</v>
      </c>
      <c r="B2056" s="1" t="s">
        <v>7608</v>
      </c>
      <c r="C2056" s="1" t="s">
        <v>7609</v>
      </c>
      <c r="D2056" s="1" t="s">
        <v>7610</v>
      </c>
      <c r="E2056" s="1" t="s">
        <v>7611</v>
      </c>
      <c r="F2056" s="1" t="s">
        <v>793</v>
      </c>
      <c r="G2056" s="1">
        <v>410210</v>
      </c>
      <c r="H2056" s="1">
        <v>7.5</v>
      </c>
    </row>
    <row r="2057" spans="1:8" ht="21.75" customHeight="1">
      <c r="A2057" s="1" t="str">
        <f>"IN30051315192150"</f>
        <v>IN30051315192150</v>
      </c>
      <c r="B2057" s="1" t="s">
        <v>7612</v>
      </c>
      <c r="C2057" s="1" t="s">
        <v>7613</v>
      </c>
      <c r="D2057" s="1" t="s">
        <v>7614</v>
      </c>
      <c r="E2057" s="1" t="s">
        <v>2735</v>
      </c>
      <c r="F2057" s="1"/>
      <c r="G2057" s="1">
        <v>410506</v>
      </c>
      <c r="H2057" s="1">
        <v>15</v>
      </c>
    </row>
    <row r="2058" spans="1:8" ht="21.75" customHeight="1">
      <c r="A2058" s="1" t="str">
        <f>"IN30177411708547"</f>
        <v>IN30177411708547</v>
      </c>
      <c r="B2058" s="1" t="s">
        <v>7615</v>
      </c>
      <c r="C2058" s="1" t="s">
        <v>7616</v>
      </c>
      <c r="D2058" s="1" t="s">
        <v>7617</v>
      </c>
      <c r="E2058" s="1" t="s">
        <v>231</v>
      </c>
      <c r="F2058" s="1"/>
      <c r="G2058" s="1">
        <v>411001</v>
      </c>
      <c r="H2058" s="1">
        <v>45</v>
      </c>
    </row>
    <row r="2059" spans="1:8" ht="21.75" customHeight="1">
      <c r="A2059" s="1" t="str">
        <f>"1204470006443000"</f>
        <v>1204470006443000</v>
      </c>
      <c r="B2059" s="1" t="s">
        <v>7618</v>
      </c>
      <c r="C2059" s="1" t="s">
        <v>7619</v>
      </c>
      <c r="D2059" s="1" t="s">
        <v>7620</v>
      </c>
      <c r="E2059" s="1" t="s">
        <v>7621</v>
      </c>
      <c r="F2059" s="1" t="s">
        <v>231</v>
      </c>
      <c r="G2059" s="1">
        <v>411013</v>
      </c>
      <c r="H2059" s="1">
        <v>356.25</v>
      </c>
    </row>
    <row r="2060" spans="1:8" ht="21.75" customHeight="1">
      <c r="A2060" s="1" t="str">
        <f>"IN30154917477842"</f>
        <v>IN30154917477842</v>
      </c>
      <c r="B2060" s="1" t="s">
        <v>7622</v>
      </c>
      <c r="C2060" s="1" t="s">
        <v>7623</v>
      </c>
      <c r="D2060" s="1" t="s">
        <v>7624</v>
      </c>
      <c r="E2060" s="1" t="s">
        <v>231</v>
      </c>
      <c r="F2060" s="1"/>
      <c r="G2060" s="1">
        <v>411013</v>
      </c>
      <c r="H2060" s="1">
        <v>375</v>
      </c>
    </row>
    <row r="2061" spans="1:8" ht="21.75" customHeight="1">
      <c r="A2061" s="1" t="str">
        <f>"1203320003744440"</f>
        <v>1203320003744440</v>
      </c>
      <c r="B2061" s="1" t="s">
        <v>7625</v>
      </c>
      <c r="C2061" s="1" t="s">
        <v>7626</v>
      </c>
      <c r="D2061" s="1" t="s">
        <v>7627</v>
      </c>
      <c r="E2061" s="1" t="s">
        <v>7628</v>
      </c>
      <c r="F2061" s="1" t="s">
        <v>231</v>
      </c>
      <c r="G2061" s="1">
        <v>411014</v>
      </c>
      <c r="H2061" s="1">
        <v>22.5</v>
      </c>
    </row>
    <row r="2062" spans="1:8" ht="21.75" customHeight="1">
      <c r="A2062" s="1" t="str">
        <f>"1203320003768231"</f>
        <v>1203320003768231</v>
      </c>
      <c r="B2062" s="1" t="s">
        <v>7629</v>
      </c>
      <c r="C2062" s="1" t="s">
        <v>7630</v>
      </c>
      <c r="D2062" s="1" t="s">
        <v>7631</v>
      </c>
      <c r="E2062" s="1" t="s">
        <v>7632</v>
      </c>
      <c r="F2062" s="1" t="s">
        <v>231</v>
      </c>
      <c r="G2062" s="1">
        <v>411026</v>
      </c>
      <c r="H2062" s="1">
        <v>3.75</v>
      </c>
    </row>
    <row r="2063" spans="1:8" ht="21.75" customHeight="1">
      <c r="A2063" s="1" t="str">
        <f>"1203320003774786"</f>
        <v>1203320003774786</v>
      </c>
      <c r="B2063" s="1" t="s">
        <v>7633</v>
      </c>
      <c r="C2063" s="1" t="s">
        <v>7634</v>
      </c>
      <c r="D2063" s="1" t="s">
        <v>7635</v>
      </c>
      <c r="E2063" s="1" t="s">
        <v>7636</v>
      </c>
      <c r="F2063" s="1" t="s">
        <v>231</v>
      </c>
      <c r="G2063" s="1">
        <v>411029</v>
      </c>
      <c r="H2063" s="1">
        <v>150</v>
      </c>
    </row>
    <row r="2064" spans="1:8" ht="21.75" customHeight="1">
      <c r="A2064" s="1" t="str">
        <f>"1304140002120171"</f>
        <v>1304140002120171</v>
      </c>
      <c r="B2064" s="1" t="s">
        <v>7637</v>
      </c>
      <c r="C2064" s="1" t="s">
        <v>7638</v>
      </c>
      <c r="D2064" s="1" t="s">
        <v>7639</v>
      </c>
      <c r="E2064" s="1" t="s">
        <v>7640</v>
      </c>
      <c r="F2064" s="1" t="s">
        <v>231</v>
      </c>
      <c r="G2064" s="1">
        <v>411032</v>
      </c>
      <c r="H2064" s="1">
        <v>10.5</v>
      </c>
    </row>
    <row r="2065" spans="1:8" ht="21.75" customHeight="1">
      <c r="A2065" s="1" t="str">
        <f>"1203410000402706"</f>
        <v>1203410000402706</v>
      </c>
      <c r="B2065" s="1" t="s">
        <v>7641</v>
      </c>
      <c r="C2065" s="1" t="s">
        <v>7642</v>
      </c>
      <c r="D2065" s="1" t="s">
        <v>7643</v>
      </c>
      <c r="E2065" s="1" t="s">
        <v>7644</v>
      </c>
      <c r="F2065" s="1" t="s">
        <v>231</v>
      </c>
      <c r="G2065" s="1">
        <v>411033</v>
      </c>
      <c r="H2065" s="1">
        <v>146.25</v>
      </c>
    </row>
    <row r="2066" spans="1:8" ht="21.75" customHeight="1">
      <c r="A2066" s="1" t="str">
        <f>"1204470006368643"</f>
        <v>1204470006368643</v>
      </c>
      <c r="B2066" s="1" t="s">
        <v>7645</v>
      </c>
      <c r="C2066" s="1" t="s">
        <v>7646</v>
      </c>
      <c r="D2066" s="1" t="s">
        <v>7647</v>
      </c>
      <c r="E2066" s="1" t="s">
        <v>7648</v>
      </c>
      <c r="F2066" s="1" t="s">
        <v>231</v>
      </c>
      <c r="G2066" s="1">
        <v>411041</v>
      </c>
      <c r="H2066" s="1">
        <v>3.75</v>
      </c>
    </row>
    <row r="2067" spans="1:8" ht="21.75" customHeight="1">
      <c r="A2067" s="1" t="str">
        <f>"IN30169611470612"</f>
        <v>IN30169611470612</v>
      </c>
      <c r="B2067" s="1" t="s">
        <v>7649</v>
      </c>
      <c r="C2067" s="1" t="s">
        <v>7650</v>
      </c>
      <c r="D2067" s="1" t="s">
        <v>7651</v>
      </c>
      <c r="E2067" s="1" t="s">
        <v>7652</v>
      </c>
      <c r="F2067" s="1"/>
      <c r="G2067" s="1">
        <v>411043</v>
      </c>
      <c r="H2067" s="1">
        <v>150</v>
      </c>
    </row>
    <row r="2068" spans="1:8" ht="21.75" customHeight="1">
      <c r="A2068" s="1" t="str">
        <f>"IN30169611470646"</f>
        <v>IN30169611470646</v>
      </c>
      <c r="B2068" s="1" t="s">
        <v>7653</v>
      </c>
      <c r="C2068" s="1" t="s">
        <v>7654</v>
      </c>
      <c r="D2068" s="1" t="s">
        <v>7655</v>
      </c>
      <c r="E2068" s="1" t="s">
        <v>7656</v>
      </c>
      <c r="F2068" s="1"/>
      <c r="G2068" s="1">
        <v>411043</v>
      </c>
      <c r="H2068" s="1">
        <v>288.75</v>
      </c>
    </row>
    <row r="2069" spans="1:8" ht="21.75" customHeight="1">
      <c r="A2069" s="1" t="str">
        <f>"1205140000126562"</f>
        <v>1205140000126562</v>
      </c>
      <c r="B2069" s="1" t="s">
        <v>7657</v>
      </c>
      <c r="C2069" s="1" t="s">
        <v>7658</v>
      </c>
      <c r="D2069" s="1" t="s">
        <v>7659</v>
      </c>
      <c r="E2069" s="1" t="s">
        <v>7660</v>
      </c>
      <c r="F2069" s="1" t="s">
        <v>231</v>
      </c>
      <c r="G2069" s="1">
        <v>411044</v>
      </c>
      <c r="H2069" s="1">
        <v>26.25</v>
      </c>
    </row>
    <row r="2070" spans="1:8" ht="21.75" customHeight="1">
      <c r="A2070" s="1" t="str">
        <f>"IN30302857241933"</f>
        <v>IN30302857241933</v>
      </c>
      <c r="B2070" s="1" t="s">
        <v>7661</v>
      </c>
      <c r="C2070" s="1" t="s">
        <v>7662</v>
      </c>
      <c r="D2070" s="1" t="s">
        <v>7663</v>
      </c>
      <c r="E2070" s="1" t="s">
        <v>7664</v>
      </c>
      <c r="F2070" s="1"/>
      <c r="G2070" s="1">
        <v>411044</v>
      </c>
      <c r="H2070" s="1">
        <v>22.5</v>
      </c>
    </row>
    <row r="2071" spans="1:8" ht="21.75" customHeight="1">
      <c r="A2071" s="1" t="str">
        <f>"1304140000999169"</f>
        <v>1304140000999169</v>
      </c>
      <c r="B2071" s="1" t="s">
        <v>7665</v>
      </c>
      <c r="C2071" s="1" t="s">
        <v>7666</v>
      </c>
      <c r="D2071" s="1" t="s">
        <v>7667</v>
      </c>
      <c r="E2071" s="1" t="s">
        <v>7668</v>
      </c>
      <c r="F2071" s="1" t="s">
        <v>7669</v>
      </c>
      <c r="G2071" s="1">
        <v>411052</v>
      </c>
      <c r="H2071" s="1">
        <v>750</v>
      </c>
    </row>
    <row r="2072" spans="1:8" ht="21.75" customHeight="1">
      <c r="A2072" s="1" t="str">
        <f>"1205420000786851"</f>
        <v>1205420000786851</v>
      </c>
      <c r="B2072" s="1" t="s">
        <v>7670</v>
      </c>
      <c r="C2072" s="1" t="s">
        <v>7671</v>
      </c>
      <c r="D2072" s="1" t="s">
        <v>7672</v>
      </c>
      <c r="E2072" s="1" t="s">
        <v>7673</v>
      </c>
      <c r="F2072" s="1" t="s">
        <v>231</v>
      </c>
      <c r="G2072" s="1">
        <v>411061</v>
      </c>
      <c r="H2072" s="1">
        <v>9</v>
      </c>
    </row>
    <row r="2073" spans="1:8" ht="21.75" customHeight="1">
      <c r="A2073" s="1" t="str">
        <f>"1204470006223782"</f>
        <v>1204470006223782</v>
      </c>
      <c r="B2073" s="1" t="s">
        <v>7674</v>
      </c>
      <c r="C2073" s="1" t="s">
        <v>7675</v>
      </c>
      <c r="D2073" s="1" t="s">
        <v>238</v>
      </c>
      <c r="E2073" s="1"/>
      <c r="F2073" s="1" t="s">
        <v>7676</v>
      </c>
      <c r="G2073" s="1">
        <v>412206</v>
      </c>
      <c r="H2073" s="1">
        <v>18.75</v>
      </c>
    </row>
    <row r="2074" spans="1:8" ht="21.75" customHeight="1">
      <c r="A2074" s="1" t="str">
        <f>"1208160030235667"</f>
        <v>1208160030235667</v>
      </c>
      <c r="B2074" s="1" t="s">
        <v>7677</v>
      </c>
      <c r="C2074" s="1" t="s">
        <v>7678</v>
      </c>
      <c r="D2074" s="1"/>
      <c r="E2074" s="1"/>
      <c r="F2074" s="1" t="s">
        <v>231</v>
      </c>
      <c r="G2074" s="1">
        <v>412207</v>
      </c>
      <c r="H2074" s="1">
        <v>15</v>
      </c>
    </row>
    <row r="2075" spans="1:8" ht="21.75" customHeight="1">
      <c r="A2075" s="1" t="str">
        <f>"IN30051314656726"</f>
        <v>IN30051314656726</v>
      </c>
      <c r="B2075" s="1" t="s">
        <v>894</v>
      </c>
      <c r="C2075" s="1" t="s">
        <v>7679</v>
      </c>
      <c r="D2075" s="1" t="s">
        <v>7680</v>
      </c>
      <c r="E2075" s="1" t="s">
        <v>7681</v>
      </c>
      <c r="F2075" s="1"/>
      <c r="G2075" s="1">
        <v>412307</v>
      </c>
      <c r="H2075" s="1">
        <v>7.5</v>
      </c>
    </row>
    <row r="2076" spans="1:8" ht="21.75" customHeight="1">
      <c r="A2076" s="1" t="str">
        <f>"1201330001002895"</f>
        <v>1201330001002895</v>
      </c>
      <c r="B2076" s="1" t="s">
        <v>7682</v>
      </c>
      <c r="C2076" s="1" t="s">
        <v>7683</v>
      </c>
      <c r="D2076" s="1" t="s">
        <v>7684</v>
      </c>
      <c r="E2076" s="1" t="s">
        <v>7685</v>
      </c>
      <c r="F2076" s="1" t="s">
        <v>7686</v>
      </c>
      <c r="G2076" s="1">
        <v>412803</v>
      </c>
      <c r="H2076" s="1">
        <v>11.25</v>
      </c>
    </row>
    <row r="2077" spans="1:8" ht="21.75" customHeight="1">
      <c r="A2077" s="1" t="str">
        <f>"1201330001181289"</f>
        <v>1201330001181289</v>
      </c>
      <c r="B2077" s="1" t="s">
        <v>7687</v>
      </c>
      <c r="C2077" s="1" t="s">
        <v>7688</v>
      </c>
      <c r="D2077" s="1" t="s">
        <v>7689</v>
      </c>
      <c r="E2077" s="1" t="s">
        <v>852</v>
      </c>
      <c r="F2077" s="1" t="s">
        <v>7686</v>
      </c>
      <c r="G2077" s="1">
        <v>412803</v>
      </c>
      <c r="H2077" s="1">
        <v>11.25</v>
      </c>
    </row>
    <row r="2078" spans="1:8" ht="21.75" customHeight="1">
      <c r="A2078" s="1" t="str">
        <f>"IN30177416501044"</f>
        <v>IN30177416501044</v>
      </c>
      <c r="B2078" s="1" t="s">
        <v>7690</v>
      </c>
      <c r="C2078" s="1" t="s">
        <v>7691</v>
      </c>
      <c r="D2078" s="1" t="s">
        <v>7692</v>
      </c>
      <c r="E2078" s="1" t="s">
        <v>7693</v>
      </c>
      <c r="F2078" s="1"/>
      <c r="G2078" s="1">
        <v>413001</v>
      </c>
      <c r="H2078" s="1">
        <v>17.25</v>
      </c>
    </row>
    <row r="2079" spans="1:8" ht="21.75" customHeight="1">
      <c r="A2079" s="1" t="str">
        <f>"1201330000446010"</f>
        <v>1201330000446010</v>
      </c>
      <c r="B2079" s="1" t="s">
        <v>7694</v>
      </c>
      <c r="C2079" s="1" t="s">
        <v>7695</v>
      </c>
      <c r="D2079" s="1" t="s">
        <v>7696</v>
      </c>
      <c r="E2079" s="1" t="s">
        <v>2835</v>
      </c>
      <c r="F2079" s="1" t="s">
        <v>2835</v>
      </c>
      <c r="G2079" s="1">
        <v>413001</v>
      </c>
      <c r="H2079" s="1">
        <v>45.75</v>
      </c>
    </row>
    <row r="2080" spans="1:8" ht="21.75" customHeight="1">
      <c r="A2080" s="1" t="str">
        <f>"IN30051314179048"</f>
        <v>IN30051314179048</v>
      </c>
      <c r="B2080" s="1" t="s">
        <v>7697</v>
      </c>
      <c r="C2080" s="1" t="s">
        <v>7698</v>
      </c>
      <c r="D2080" s="1" t="s">
        <v>7699</v>
      </c>
      <c r="E2080" s="1" t="s">
        <v>7700</v>
      </c>
      <c r="F2080" s="1"/>
      <c r="G2080" s="1">
        <v>413004</v>
      </c>
      <c r="H2080" s="1">
        <v>0.75</v>
      </c>
    </row>
    <row r="2081" spans="1:8" ht="21.75" customHeight="1">
      <c r="A2081" s="1" t="str">
        <f>"1201330000734466"</f>
        <v>1201330000734466</v>
      </c>
      <c r="B2081" s="1" t="s">
        <v>7701</v>
      </c>
      <c r="C2081" s="1" t="s">
        <v>7702</v>
      </c>
      <c r="D2081" s="1" t="s">
        <v>7703</v>
      </c>
      <c r="E2081" s="1" t="s">
        <v>238</v>
      </c>
      <c r="F2081" s="1" t="s">
        <v>231</v>
      </c>
      <c r="G2081" s="1">
        <v>413102</v>
      </c>
      <c r="H2081" s="1">
        <v>7.5</v>
      </c>
    </row>
    <row r="2082" spans="1:8" ht="21.75" customHeight="1">
      <c r="A2082" s="1" t="str">
        <f>"1201320001196701"</f>
        <v>1201320001196701</v>
      </c>
      <c r="B2082" s="1" t="s">
        <v>7704</v>
      </c>
      <c r="C2082" s="1" t="s">
        <v>7705</v>
      </c>
      <c r="D2082" s="1" t="s">
        <v>7706</v>
      </c>
      <c r="E2082" s="1"/>
      <c r="F2082" s="1" t="s">
        <v>231</v>
      </c>
      <c r="G2082" s="1">
        <v>413133</v>
      </c>
      <c r="H2082" s="1">
        <v>45</v>
      </c>
    </row>
    <row r="2083" spans="1:8" ht="21.75" customHeight="1">
      <c r="A2083" s="1" t="str">
        <f>"1203320007995466"</f>
        <v>1203320007995466</v>
      </c>
      <c r="B2083" s="1" t="s">
        <v>7707</v>
      </c>
      <c r="C2083" s="1" t="s">
        <v>7708</v>
      </c>
      <c r="D2083" s="1" t="s">
        <v>7709</v>
      </c>
      <c r="E2083" s="1" t="s">
        <v>7710</v>
      </c>
      <c r="F2083" s="1" t="s">
        <v>2856</v>
      </c>
      <c r="G2083" s="1">
        <v>413512</v>
      </c>
      <c r="H2083" s="1">
        <v>0.75</v>
      </c>
    </row>
    <row r="2084" spans="1:8" ht="21.75" customHeight="1">
      <c r="A2084" s="1" t="str">
        <f>"1201320001409078"</f>
        <v>1201320001409078</v>
      </c>
      <c r="B2084" s="1" t="s">
        <v>7711</v>
      </c>
      <c r="C2084" s="1" t="s">
        <v>7712</v>
      </c>
      <c r="D2084" s="1" t="s">
        <v>7713</v>
      </c>
      <c r="E2084" s="1"/>
      <c r="F2084" s="1" t="s">
        <v>7714</v>
      </c>
      <c r="G2084" s="1">
        <v>413709</v>
      </c>
      <c r="H2084" s="1">
        <v>18.75</v>
      </c>
    </row>
    <row r="2085" spans="1:8" ht="21.75" customHeight="1">
      <c r="A2085" s="1" t="str">
        <f>"1201320001147417"</f>
        <v>1201320001147417</v>
      </c>
      <c r="B2085" s="1" t="s">
        <v>7715</v>
      </c>
      <c r="C2085" s="1" t="s">
        <v>7716</v>
      </c>
      <c r="D2085" s="1" t="s">
        <v>7714</v>
      </c>
      <c r="E2085" s="1"/>
      <c r="F2085" s="1" t="s">
        <v>7714</v>
      </c>
      <c r="G2085" s="1">
        <v>413709</v>
      </c>
      <c r="H2085" s="1">
        <v>0.75</v>
      </c>
    </row>
    <row r="2086" spans="1:8" ht="21.75" customHeight="1">
      <c r="A2086" s="1" t="str">
        <f>"1201320001151081"</f>
        <v>1201320001151081</v>
      </c>
      <c r="B2086" s="1" t="s">
        <v>7717</v>
      </c>
      <c r="C2086" s="1" t="s">
        <v>7718</v>
      </c>
      <c r="D2086" s="1" t="s">
        <v>2003</v>
      </c>
      <c r="E2086" s="1"/>
      <c r="F2086" s="1" t="s">
        <v>7714</v>
      </c>
      <c r="G2086" s="1">
        <v>413709</v>
      </c>
      <c r="H2086" s="1">
        <v>75</v>
      </c>
    </row>
    <row r="2087" spans="1:8" ht="21.75" customHeight="1">
      <c r="A2087" s="1" t="str">
        <f>"1201320001151094"</f>
        <v>1201320001151094</v>
      </c>
      <c r="B2087" s="1" t="s">
        <v>7719</v>
      </c>
      <c r="C2087" s="1" t="s">
        <v>7720</v>
      </c>
      <c r="D2087" s="1" t="s">
        <v>7721</v>
      </c>
      <c r="E2087" s="1"/>
      <c r="F2087" s="1" t="s">
        <v>7714</v>
      </c>
      <c r="G2087" s="1">
        <v>413709</v>
      </c>
      <c r="H2087" s="1">
        <v>24</v>
      </c>
    </row>
    <row r="2088" spans="1:8" ht="21.75" customHeight="1">
      <c r="A2088" s="1" t="str">
        <f>"1201320001389090"</f>
        <v>1201320001389090</v>
      </c>
      <c r="B2088" s="1" t="s">
        <v>7722</v>
      </c>
      <c r="C2088" s="1" t="s">
        <v>7723</v>
      </c>
      <c r="D2088" s="1" t="s">
        <v>7714</v>
      </c>
      <c r="E2088" s="1"/>
      <c r="F2088" s="1" t="s">
        <v>7714</v>
      </c>
      <c r="G2088" s="1">
        <v>413718</v>
      </c>
      <c r="H2088" s="1">
        <v>3.75</v>
      </c>
    </row>
    <row r="2089" spans="1:8" ht="21.75" customHeight="1">
      <c r="A2089" s="1" t="str">
        <f>"1203600001322607"</f>
        <v>1203600001322607</v>
      </c>
      <c r="B2089" s="1" t="s">
        <v>7724</v>
      </c>
      <c r="C2089" s="1" t="s">
        <v>7725</v>
      </c>
      <c r="D2089" s="1" t="s">
        <v>7726</v>
      </c>
      <c r="E2089" s="1"/>
      <c r="F2089" s="1" t="s">
        <v>840</v>
      </c>
      <c r="G2089" s="1">
        <v>414001</v>
      </c>
      <c r="H2089" s="1">
        <v>7.5</v>
      </c>
    </row>
    <row r="2090" spans="1:8" ht="21.75" customHeight="1">
      <c r="A2090" s="1" t="str">
        <f>"1203600001269763"</f>
        <v>1203600001269763</v>
      </c>
      <c r="B2090" s="1" t="s">
        <v>7727</v>
      </c>
      <c r="C2090" s="1" t="s">
        <v>7728</v>
      </c>
      <c r="D2090" s="1" t="s">
        <v>7729</v>
      </c>
      <c r="E2090" s="1" t="s">
        <v>7730</v>
      </c>
      <c r="F2090" s="1" t="s">
        <v>840</v>
      </c>
      <c r="G2090" s="1">
        <v>414001</v>
      </c>
      <c r="H2090" s="1">
        <v>7.5</v>
      </c>
    </row>
    <row r="2091" spans="1:8" ht="21.75" customHeight="1">
      <c r="A2091" s="1" t="str">
        <f>"1203000000597299"</f>
        <v>1203000000597299</v>
      </c>
      <c r="B2091" s="1" t="s">
        <v>7731</v>
      </c>
      <c r="C2091" s="1" t="s">
        <v>7732</v>
      </c>
      <c r="D2091" s="1" t="s">
        <v>2914</v>
      </c>
      <c r="E2091" s="1" t="s">
        <v>7733</v>
      </c>
      <c r="F2091" s="1" t="s">
        <v>7734</v>
      </c>
      <c r="G2091" s="1">
        <v>414502</v>
      </c>
      <c r="H2091" s="1">
        <v>1.5</v>
      </c>
    </row>
    <row r="2092" spans="1:8" ht="21.75" customHeight="1">
      <c r="A2092" s="1" t="str">
        <f>"IN30226910990661"</f>
        <v>IN30226910990661</v>
      </c>
      <c r="B2092" s="1" t="s">
        <v>7735</v>
      </c>
      <c r="C2092" s="1" t="s">
        <v>7736</v>
      </c>
      <c r="D2092" s="1" t="s">
        <v>7737</v>
      </c>
      <c r="E2092" s="1" t="s">
        <v>7738</v>
      </c>
      <c r="F2092" s="1"/>
      <c r="G2092" s="1">
        <v>415001</v>
      </c>
      <c r="H2092" s="1">
        <v>0.75</v>
      </c>
    </row>
    <row r="2093" spans="1:8" ht="21.75" customHeight="1">
      <c r="A2093" s="1" t="str">
        <f>"1201060003786327"</f>
        <v>1201060003786327</v>
      </c>
      <c r="B2093" s="1" t="s">
        <v>7739</v>
      </c>
      <c r="C2093" s="1" t="s">
        <v>7740</v>
      </c>
      <c r="D2093" s="1" t="s">
        <v>7741</v>
      </c>
      <c r="E2093" s="1" t="s">
        <v>7742</v>
      </c>
      <c r="F2093" s="1" t="s">
        <v>852</v>
      </c>
      <c r="G2093" s="1">
        <v>415004</v>
      </c>
      <c r="H2093" s="1">
        <v>37.5</v>
      </c>
    </row>
    <row r="2094" spans="1:8" ht="21.75" customHeight="1">
      <c r="A2094" s="1" t="str">
        <f>"IN30051317013599"</f>
        <v>IN30051317013599</v>
      </c>
      <c r="B2094" s="1" t="s">
        <v>7743</v>
      </c>
      <c r="C2094" s="1" t="s">
        <v>7744</v>
      </c>
      <c r="D2094" s="1" t="s">
        <v>7745</v>
      </c>
      <c r="E2094" s="1" t="s">
        <v>7746</v>
      </c>
      <c r="F2094" s="1"/>
      <c r="G2094" s="1">
        <v>415102</v>
      </c>
      <c r="H2094" s="1">
        <v>825</v>
      </c>
    </row>
    <row r="2095" spans="1:8" ht="21.75" customHeight="1">
      <c r="A2095" s="1" t="str">
        <f>"1203500000965064"</f>
        <v>1203500000965064</v>
      </c>
      <c r="B2095" s="1" t="s">
        <v>7747</v>
      </c>
      <c r="C2095" s="1" t="s">
        <v>7748</v>
      </c>
      <c r="D2095" s="1" t="s">
        <v>7749</v>
      </c>
      <c r="E2095" s="1"/>
      <c r="F2095" s="1" t="s">
        <v>857</v>
      </c>
      <c r="G2095" s="1">
        <v>415110</v>
      </c>
      <c r="H2095" s="1">
        <v>18.75</v>
      </c>
    </row>
    <row r="2096" spans="1:8" ht="21.75" customHeight="1">
      <c r="A2096" s="1" t="str">
        <f>"1201330000670911"</f>
        <v>1201330000670911</v>
      </c>
      <c r="B2096" s="1" t="s">
        <v>7750</v>
      </c>
      <c r="C2096" s="1" t="s">
        <v>7751</v>
      </c>
      <c r="D2096" s="1" t="s">
        <v>7752</v>
      </c>
      <c r="E2096" s="1" t="s">
        <v>7753</v>
      </c>
      <c r="F2096" s="1" t="s">
        <v>852</v>
      </c>
      <c r="G2096" s="1">
        <v>415206</v>
      </c>
      <c r="H2096" s="1">
        <v>1.5</v>
      </c>
    </row>
    <row r="2097" spans="1:8" ht="21.75" customHeight="1">
      <c r="A2097" s="1" t="str">
        <f>"1202700000041509"</f>
        <v>1202700000041509</v>
      </c>
      <c r="B2097" s="1" t="s">
        <v>7754</v>
      </c>
      <c r="C2097" s="1" t="s">
        <v>7755</v>
      </c>
      <c r="D2097" s="1" t="s">
        <v>7756</v>
      </c>
      <c r="E2097" s="1" t="s">
        <v>7757</v>
      </c>
      <c r="F2097" s="1" t="s">
        <v>7758</v>
      </c>
      <c r="G2097" s="1">
        <v>415539</v>
      </c>
      <c r="H2097" s="1">
        <v>262.5</v>
      </c>
    </row>
    <row r="2098" spans="1:8" ht="21.75" customHeight="1">
      <c r="A2098" s="1" t="str">
        <f>"IN30226911903234"</f>
        <v>IN30226911903234</v>
      </c>
      <c r="B2098" s="1" t="s">
        <v>7759</v>
      </c>
      <c r="C2098" s="1" t="s">
        <v>7760</v>
      </c>
      <c r="D2098" s="1" t="s">
        <v>7761</v>
      </c>
      <c r="E2098" s="1" t="s">
        <v>7762</v>
      </c>
      <c r="F2098" s="1"/>
      <c r="G2098" s="1">
        <v>415612</v>
      </c>
      <c r="H2098" s="1">
        <v>57</v>
      </c>
    </row>
    <row r="2099" spans="1:8" ht="21.75" customHeight="1">
      <c r="A2099" s="1" t="str">
        <f>"IN30177414125737"</f>
        <v>IN30177414125737</v>
      </c>
      <c r="B2099" s="1" t="s">
        <v>7763</v>
      </c>
      <c r="C2099" s="1" t="s">
        <v>7764</v>
      </c>
      <c r="D2099" s="1" t="s">
        <v>7765</v>
      </c>
      <c r="E2099" s="1" t="s">
        <v>7766</v>
      </c>
      <c r="F2099" s="1"/>
      <c r="G2099" s="1">
        <v>415639</v>
      </c>
      <c r="H2099" s="1">
        <v>1.5</v>
      </c>
    </row>
    <row r="2100" spans="1:8" ht="21.75" customHeight="1">
      <c r="A2100" s="1" t="str">
        <f>"IN30021412942255"</f>
        <v>IN30021412942255</v>
      </c>
      <c r="B2100" s="1" t="s">
        <v>7767</v>
      </c>
      <c r="C2100" s="1" t="s">
        <v>7768</v>
      </c>
      <c r="D2100" s="1" t="s">
        <v>7769</v>
      </c>
      <c r="E2100" s="1" t="s">
        <v>7770</v>
      </c>
      <c r="F2100" s="1"/>
      <c r="G2100" s="1">
        <v>415703</v>
      </c>
      <c r="H2100" s="1">
        <v>7.5</v>
      </c>
    </row>
    <row r="2101" spans="1:8" ht="21.75" customHeight="1">
      <c r="A2101" s="1" t="str">
        <f>"1203600000266110"</f>
        <v>1203600000266110</v>
      </c>
      <c r="B2101" s="1" t="s">
        <v>7771</v>
      </c>
      <c r="C2101" s="1" t="s">
        <v>7772</v>
      </c>
      <c r="D2101" s="1" t="s">
        <v>7773</v>
      </c>
      <c r="E2101" s="1" t="s">
        <v>7774</v>
      </c>
      <c r="F2101" s="1" t="s">
        <v>2960</v>
      </c>
      <c r="G2101" s="1">
        <v>416101</v>
      </c>
      <c r="H2101" s="1">
        <v>127.5</v>
      </c>
    </row>
    <row r="2102" spans="1:8" ht="21.75" customHeight="1">
      <c r="A2102" s="1" t="str">
        <f>"IN30051312832034"</f>
        <v>IN30051312832034</v>
      </c>
      <c r="B2102" s="1" t="s">
        <v>7775</v>
      </c>
      <c r="C2102" s="1" t="s">
        <v>7776</v>
      </c>
      <c r="D2102" s="1"/>
      <c r="E2102" s="1" t="s">
        <v>7774</v>
      </c>
      <c r="F2102" s="1"/>
      <c r="G2102" s="1">
        <v>416103</v>
      </c>
      <c r="H2102" s="1">
        <v>150</v>
      </c>
    </row>
    <row r="2103" spans="1:8" ht="21.75" customHeight="1">
      <c r="A2103" s="1" t="str">
        <f>"1201330001045475"</f>
        <v>1201330001045475</v>
      </c>
      <c r="B2103" s="1" t="s">
        <v>7777</v>
      </c>
      <c r="C2103" s="1" t="s">
        <v>7778</v>
      </c>
      <c r="D2103" s="1" t="s">
        <v>7779</v>
      </c>
      <c r="E2103" s="1" t="s">
        <v>2950</v>
      </c>
      <c r="F2103" s="1" t="s">
        <v>2950</v>
      </c>
      <c r="G2103" s="1">
        <v>416112</v>
      </c>
      <c r="H2103" s="1">
        <v>7.5</v>
      </c>
    </row>
    <row r="2104" spans="1:8" ht="21.75" customHeight="1">
      <c r="A2104" s="1" t="str">
        <f>"1301440004290334"</f>
        <v>1301440004290334</v>
      </c>
      <c r="B2104" s="1" t="s">
        <v>7780</v>
      </c>
      <c r="C2104" s="1" t="s">
        <v>7781</v>
      </c>
      <c r="D2104" s="1" t="s">
        <v>7782</v>
      </c>
      <c r="E2104" s="1" t="s">
        <v>7783</v>
      </c>
      <c r="F2104" s="1" t="s">
        <v>2950</v>
      </c>
      <c r="G2104" s="1">
        <v>416112</v>
      </c>
      <c r="H2104" s="1">
        <v>1.5</v>
      </c>
    </row>
    <row r="2105" spans="1:8" ht="21.75" customHeight="1">
      <c r="A2105" s="1" t="str">
        <f>"1202890000225449"</f>
        <v>1202890000225449</v>
      </c>
      <c r="B2105" s="1" t="s">
        <v>7784</v>
      </c>
      <c r="C2105" s="1" t="s">
        <v>7785</v>
      </c>
      <c r="D2105" s="1" t="s">
        <v>7786</v>
      </c>
      <c r="E2105" s="1" t="s">
        <v>7787</v>
      </c>
      <c r="F2105" s="1" t="s">
        <v>2950</v>
      </c>
      <c r="G2105" s="1">
        <v>416116</v>
      </c>
      <c r="H2105" s="1">
        <v>7.5</v>
      </c>
    </row>
    <row r="2106" spans="1:8" ht="21.75" customHeight="1">
      <c r="A2106" s="1" t="str">
        <f>"1203390000103057"</f>
        <v>1203390000103057</v>
      </c>
      <c r="B2106" s="1" t="s">
        <v>7788</v>
      </c>
      <c r="C2106" s="1" t="s">
        <v>7789</v>
      </c>
      <c r="D2106" s="1" t="s">
        <v>7790</v>
      </c>
      <c r="E2106" s="1"/>
      <c r="F2106" s="1" t="s">
        <v>2936</v>
      </c>
      <c r="G2106" s="1">
        <v>416416</v>
      </c>
      <c r="H2106" s="1">
        <v>7.5</v>
      </c>
    </row>
    <row r="2107" spans="1:8" ht="21.75" customHeight="1">
      <c r="A2107" s="1" t="str">
        <f>"IN30051315608523"</f>
        <v>IN30051315608523</v>
      </c>
      <c r="B2107" s="1" t="s">
        <v>7791</v>
      </c>
      <c r="C2107" s="1" t="s">
        <v>7792</v>
      </c>
      <c r="D2107" s="1" t="s">
        <v>7793</v>
      </c>
      <c r="E2107" s="1" t="s">
        <v>7794</v>
      </c>
      <c r="F2107" s="1"/>
      <c r="G2107" s="1">
        <v>416510</v>
      </c>
      <c r="H2107" s="1">
        <v>3.75</v>
      </c>
    </row>
    <row r="2108" spans="1:8" ht="21.75" customHeight="1">
      <c r="A2108" s="1" t="str">
        <f>"IN30051315821015"</f>
        <v>IN30051315821015</v>
      </c>
      <c r="B2108" s="1" t="s">
        <v>7795</v>
      </c>
      <c r="C2108" s="1" t="s">
        <v>7796</v>
      </c>
      <c r="D2108" s="1" t="s">
        <v>2993</v>
      </c>
      <c r="E2108" s="1" t="s">
        <v>7797</v>
      </c>
      <c r="F2108" s="1"/>
      <c r="G2108" s="1">
        <v>421001</v>
      </c>
      <c r="H2108" s="1">
        <v>90</v>
      </c>
    </row>
    <row r="2109" spans="1:8" ht="21.75" customHeight="1">
      <c r="A2109" s="1" t="str">
        <f>"IN30160411815900"</f>
        <v>IN30160411815900</v>
      </c>
      <c r="B2109" s="1" t="s">
        <v>7798</v>
      </c>
      <c r="C2109" s="1" t="s">
        <v>7799</v>
      </c>
      <c r="D2109" s="1" t="s">
        <v>7800</v>
      </c>
      <c r="E2109" s="1" t="s">
        <v>7801</v>
      </c>
      <c r="F2109" s="1"/>
      <c r="G2109" s="1">
        <v>421201</v>
      </c>
      <c r="H2109" s="1">
        <v>2.25</v>
      </c>
    </row>
    <row r="2110" spans="1:8" ht="21.75" customHeight="1">
      <c r="A2110" s="1" t="str">
        <f>"1201090005954455"</f>
        <v>1201090005954455</v>
      </c>
      <c r="B2110" s="1" t="s">
        <v>7802</v>
      </c>
      <c r="C2110" s="1" t="s">
        <v>7803</v>
      </c>
      <c r="D2110" s="1" t="s">
        <v>7804</v>
      </c>
      <c r="E2110" s="1" t="s">
        <v>7805</v>
      </c>
      <c r="F2110" s="1" t="s">
        <v>222</v>
      </c>
      <c r="G2110" s="1">
        <v>421201</v>
      </c>
      <c r="H2110" s="1">
        <v>37.5</v>
      </c>
    </row>
    <row r="2111" spans="1:8" ht="21.75" customHeight="1">
      <c r="A2111" s="1" t="str">
        <f>"1206380000015345"</f>
        <v>1206380000015345</v>
      </c>
      <c r="B2111" s="1" t="s">
        <v>7806</v>
      </c>
      <c r="C2111" s="1" t="s">
        <v>7807</v>
      </c>
      <c r="D2111" s="1" t="s">
        <v>7808</v>
      </c>
      <c r="E2111" s="1" t="s">
        <v>7809</v>
      </c>
      <c r="F2111" s="1" t="s">
        <v>222</v>
      </c>
      <c r="G2111" s="1">
        <v>421202</v>
      </c>
      <c r="H2111" s="1">
        <v>12</v>
      </c>
    </row>
    <row r="2112" spans="1:8" ht="21.75" customHeight="1">
      <c r="A2112" s="1" t="str">
        <f>"1201090002303689"</f>
        <v>1201090002303689</v>
      </c>
      <c r="B2112" s="1" t="s">
        <v>7810</v>
      </c>
      <c r="C2112" s="1" t="s">
        <v>7811</v>
      </c>
      <c r="D2112" s="1" t="s">
        <v>7812</v>
      </c>
      <c r="E2112" s="1" t="s">
        <v>7813</v>
      </c>
      <c r="F2112" s="1" t="s">
        <v>222</v>
      </c>
      <c r="G2112" s="1">
        <v>421202</v>
      </c>
      <c r="H2112" s="1">
        <v>12.75</v>
      </c>
    </row>
    <row r="2113" spans="1:8" ht="21.75" customHeight="1">
      <c r="A2113" s="1" t="str">
        <f>"IN30136410026808"</f>
        <v>IN30136410026808</v>
      </c>
      <c r="B2113" s="1" t="s">
        <v>7814</v>
      </c>
      <c r="C2113" s="1" t="s">
        <v>7815</v>
      </c>
      <c r="D2113" s="1" t="s">
        <v>7816</v>
      </c>
      <c r="E2113" s="1" t="s">
        <v>7817</v>
      </c>
      <c r="F2113" s="1"/>
      <c r="G2113" s="1">
        <v>421203</v>
      </c>
      <c r="H2113" s="1">
        <v>3</v>
      </c>
    </row>
    <row r="2114" spans="1:8" ht="21.75" customHeight="1">
      <c r="A2114" s="1" t="str">
        <f>"IN30311610035556"</f>
        <v>IN30311610035556</v>
      </c>
      <c r="B2114" s="1" t="s">
        <v>7818</v>
      </c>
      <c r="C2114" s="1" t="s">
        <v>7819</v>
      </c>
      <c r="D2114" s="1" t="s">
        <v>7820</v>
      </c>
      <c r="E2114" s="1" t="s">
        <v>7821</v>
      </c>
      <c r="F2114" s="1"/>
      <c r="G2114" s="1">
        <v>421301</v>
      </c>
      <c r="H2114" s="1">
        <v>375</v>
      </c>
    </row>
    <row r="2115" spans="1:8" ht="21.75" customHeight="1">
      <c r="A2115" s="1" t="str">
        <f>"IN30287120290561"</f>
        <v>IN30287120290561</v>
      </c>
      <c r="B2115" s="1" t="s">
        <v>7822</v>
      </c>
      <c r="C2115" s="1" t="s">
        <v>7823</v>
      </c>
      <c r="D2115" s="1" t="s">
        <v>7824</v>
      </c>
      <c r="E2115" s="1" t="s">
        <v>7825</v>
      </c>
      <c r="F2115" s="1"/>
      <c r="G2115" s="1">
        <v>421301</v>
      </c>
      <c r="H2115" s="1">
        <v>6</v>
      </c>
    </row>
    <row r="2116" spans="1:8" ht="21.75" customHeight="1">
      <c r="A2116" s="1" t="str">
        <f>"IN30051310311564"</f>
        <v>IN30051310311564</v>
      </c>
      <c r="B2116" s="1" t="s">
        <v>7826</v>
      </c>
      <c r="C2116" s="1" t="s">
        <v>7827</v>
      </c>
      <c r="D2116" s="1" t="s">
        <v>7828</v>
      </c>
      <c r="E2116" s="1" t="s">
        <v>7829</v>
      </c>
      <c r="F2116" s="1"/>
      <c r="G2116" s="1">
        <v>421501</v>
      </c>
      <c r="H2116" s="1">
        <v>37.5</v>
      </c>
    </row>
    <row r="2117" spans="1:8" ht="21.75" customHeight="1">
      <c r="A2117" s="1" t="str">
        <f>"1203320000267161"</f>
        <v>1203320000267161</v>
      </c>
      <c r="B2117" s="1" t="s">
        <v>7830</v>
      </c>
      <c r="C2117" s="1" t="s">
        <v>7831</v>
      </c>
      <c r="D2117" s="1" t="s">
        <v>7832</v>
      </c>
      <c r="E2117" s="1" t="s">
        <v>7833</v>
      </c>
      <c r="F2117" s="1" t="s">
        <v>222</v>
      </c>
      <c r="G2117" s="1">
        <v>421505</v>
      </c>
      <c r="H2117" s="1">
        <v>18.75</v>
      </c>
    </row>
    <row r="2118" spans="1:8" ht="21.75" customHeight="1">
      <c r="A2118" s="1" t="str">
        <f>"1202700000636521"</f>
        <v>1202700000636521</v>
      </c>
      <c r="B2118" s="1" t="s">
        <v>7834</v>
      </c>
      <c r="C2118" s="1" t="s">
        <v>7835</v>
      </c>
      <c r="D2118" s="1" t="s">
        <v>7836</v>
      </c>
      <c r="E2118" s="1"/>
      <c r="F2118" s="1" t="s">
        <v>3033</v>
      </c>
      <c r="G2118" s="1">
        <v>422009</v>
      </c>
      <c r="H2118" s="1">
        <v>30</v>
      </c>
    </row>
    <row r="2119" spans="1:8" ht="21.75" customHeight="1">
      <c r="A2119" s="1" t="str">
        <f>"1203320007126757"</f>
        <v>1203320007126757</v>
      </c>
      <c r="B2119" s="1" t="s">
        <v>7837</v>
      </c>
      <c r="C2119" s="1" t="s">
        <v>7838</v>
      </c>
      <c r="D2119" s="1" t="s">
        <v>710</v>
      </c>
      <c r="E2119" s="1" t="s">
        <v>7839</v>
      </c>
      <c r="F2119" s="1" t="s">
        <v>3033</v>
      </c>
      <c r="G2119" s="1">
        <v>422010</v>
      </c>
      <c r="H2119" s="1">
        <v>37.5</v>
      </c>
    </row>
    <row r="2120" spans="1:8" ht="21.75" customHeight="1">
      <c r="A2120" s="1" t="str">
        <f>"1203410000039021"</f>
        <v>1203410000039021</v>
      </c>
      <c r="B2120" s="1" t="s">
        <v>7840</v>
      </c>
      <c r="C2120" s="1" t="s">
        <v>7841</v>
      </c>
      <c r="D2120" s="1" t="s">
        <v>7842</v>
      </c>
      <c r="E2120" s="1"/>
      <c r="F2120" s="1" t="s">
        <v>2175</v>
      </c>
      <c r="G2120" s="1">
        <v>422011</v>
      </c>
      <c r="H2120" s="1">
        <v>53.25</v>
      </c>
    </row>
    <row r="2121" spans="1:8" ht="21.75" customHeight="1">
      <c r="A2121" s="1" t="str">
        <f>"1201090700190308"</f>
        <v>1201090700190308</v>
      </c>
      <c r="B2121" s="1" t="s">
        <v>7843</v>
      </c>
      <c r="C2121" s="1" t="s">
        <v>7844</v>
      </c>
      <c r="D2121" s="1" t="s">
        <v>7845</v>
      </c>
      <c r="E2121" s="1" t="s">
        <v>7846</v>
      </c>
      <c r="F2121" s="1" t="s">
        <v>3033</v>
      </c>
      <c r="G2121" s="1">
        <v>422101</v>
      </c>
      <c r="H2121" s="1">
        <v>18.75</v>
      </c>
    </row>
    <row r="2122" spans="1:8" ht="21.75" customHeight="1">
      <c r="A2122" s="1" t="str">
        <f>"IN30051313550180"</f>
        <v>IN30051313550180</v>
      </c>
      <c r="B2122" s="1" t="s">
        <v>7847</v>
      </c>
      <c r="C2122" s="1" t="s">
        <v>7848</v>
      </c>
      <c r="D2122" s="1" t="s">
        <v>7849</v>
      </c>
      <c r="E2122" s="1" t="s">
        <v>7850</v>
      </c>
      <c r="F2122" s="1"/>
      <c r="G2122" s="1">
        <v>422101</v>
      </c>
      <c r="H2122" s="1">
        <v>0.75</v>
      </c>
    </row>
    <row r="2123" spans="1:8" ht="21.75" customHeight="1">
      <c r="A2123" s="1" t="str">
        <f>"IN30023911215610"</f>
        <v>IN30023911215610</v>
      </c>
      <c r="B2123" s="1" t="s">
        <v>7851</v>
      </c>
      <c r="C2123" s="1" t="s">
        <v>7852</v>
      </c>
      <c r="D2123" s="1" t="s">
        <v>7853</v>
      </c>
      <c r="E2123" s="1" t="s">
        <v>3069</v>
      </c>
      <c r="F2123" s="1"/>
      <c r="G2123" s="1">
        <v>422101</v>
      </c>
      <c r="H2123" s="1">
        <v>37.5</v>
      </c>
    </row>
    <row r="2124" spans="1:8" ht="21.75" customHeight="1">
      <c r="A2124" s="1" t="str">
        <f>"1208870023215503"</f>
        <v>1208870023215503</v>
      </c>
      <c r="B2124" s="1" t="s">
        <v>7854</v>
      </c>
      <c r="C2124" s="1" t="s">
        <v>7855</v>
      </c>
      <c r="D2124" s="1" t="s">
        <v>7856</v>
      </c>
      <c r="E2124" s="1" t="s">
        <v>410</v>
      </c>
      <c r="F2124" s="1" t="s">
        <v>2893</v>
      </c>
      <c r="G2124" s="1">
        <v>422605</v>
      </c>
      <c r="H2124" s="1">
        <v>3.75</v>
      </c>
    </row>
    <row r="2125" spans="1:8" ht="21.75" customHeight="1">
      <c r="A2125" s="1" t="str">
        <f>"1203320006254541"</f>
        <v>1203320006254541</v>
      </c>
      <c r="B2125" s="1" t="s">
        <v>7857</v>
      </c>
      <c r="C2125" s="1" t="s">
        <v>7858</v>
      </c>
      <c r="D2125" s="1" t="s">
        <v>7859</v>
      </c>
      <c r="E2125" s="1" t="s">
        <v>7860</v>
      </c>
      <c r="F2125" s="1" t="s">
        <v>2175</v>
      </c>
      <c r="G2125" s="1">
        <v>423203</v>
      </c>
      <c r="H2125" s="1">
        <v>75</v>
      </c>
    </row>
    <row r="2126" spans="1:8" ht="21.75" customHeight="1">
      <c r="A2126" s="1" t="str">
        <f>"IN30045080031599"</f>
        <v>IN30045080031599</v>
      </c>
      <c r="B2126" s="1" t="s">
        <v>7861</v>
      </c>
      <c r="C2126" s="1" t="s">
        <v>7862</v>
      </c>
      <c r="D2126" s="1" t="s">
        <v>7863</v>
      </c>
      <c r="E2126" s="1" t="s">
        <v>7860</v>
      </c>
      <c r="F2126" s="1"/>
      <c r="G2126" s="1">
        <v>423203</v>
      </c>
      <c r="H2126" s="1">
        <v>337.5</v>
      </c>
    </row>
    <row r="2127" spans="1:8" ht="21.75" customHeight="1">
      <c r="A2127" s="1" t="str">
        <f>"1201750000079710"</f>
        <v>1201750000079710</v>
      </c>
      <c r="B2127" s="1" t="s">
        <v>7864</v>
      </c>
      <c r="C2127" s="1" t="s">
        <v>7865</v>
      </c>
      <c r="D2127" s="1" t="s">
        <v>7866</v>
      </c>
      <c r="E2127" s="1" t="s">
        <v>3073</v>
      </c>
      <c r="F2127" s="1" t="s">
        <v>3073</v>
      </c>
      <c r="G2127" s="1">
        <v>424001</v>
      </c>
      <c r="H2127" s="1">
        <v>277.5</v>
      </c>
    </row>
    <row r="2128" spans="1:8" ht="21.75" customHeight="1">
      <c r="A2128" s="1" t="str">
        <f>"1204470005777713"</f>
        <v>1204470005777713</v>
      </c>
      <c r="B2128" s="1" t="s">
        <v>7867</v>
      </c>
      <c r="C2128" s="1" t="s">
        <v>7868</v>
      </c>
      <c r="D2128" s="1" t="s">
        <v>7869</v>
      </c>
      <c r="E2128" s="1"/>
      <c r="F2128" s="1" t="s">
        <v>7869</v>
      </c>
      <c r="G2128" s="1">
        <v>424101</v>
      </c>
      <c r="H2128" s="1">
        <v>7.5</v>
      </c>
    </row>
    <row r="2129" spans="1:8" ht="21.75" customHeight="1">
      <c r="A2129" s="1" t="str">
        <f>"1201320000622340"</f>
        <v>1201320000622340</v>
      </c>
      <c r="B2129" s="1" t="s">
        <v>7870</v>
      </c>
      <c r="C2129" s="1" t="s">
        <v>7871</v>
      </c>
      <c r="D2129" s="1" t="s">
        <v>7872</v>
      </c>
      <c r="E2129" s="1"/>
      <c r="F2129" s="1" t="s">
        <v>249</v>
      </c>
      <c r="G2129" s="1">
        <v>425001</v>
      </c>
      <c r="H2129" s="1">
        <v>1.5</v>
      </c>
    </row>
    <row r="2130" spans="1:8" ht="21.75" customHeight="1">
      <c r="A2130" s="1" t="str">
        <f>"1201330000597618"</f>
        <v>1201330000597618</v>
      </c>
      <c r="B2130" s="1" t="s">
        <v>7873</v>
      </c>
      <c r="C2130" s="1" t="s">
        <v>7874</v>
      </c>
      <c r="D2130" s="1" t="s">
        <v>7875</v>
      </c>
      <c r="E2130" s="1" t="s">
        <v>7876</v>
      </c>
      <c r="F2130" s="1" t="s">
        <v>249</v>
      </c>
      <c r="G2130" s="1">
        <v>425001</v>
      </c>
      <c r="H2130" s="1">
        <v>150</v>
      </c>
    </row>
    <row r="2131" spans="1:8" ht="21.75" customHeight="1">
      <c r="A2131" s="1" t="str">
        <f>"1203440000528218"</f>
        <v>1203440000528218</v>
      </c>
      <c r="B2131" s="1" t="s">
        <v>7877</v>
      </c>
      <c r="C2131" s="1">
        <v>268</v>
      </c>
      <c r="D2131" s="1" t="s">
        <v>2750</v>
      </c>
      <c r="E2131" s="1" t="s">
        <v>249</v>
      </c>
      <c r="F2131" s="1" t="s">
        <v>249</v>
      </c>
      <c r="G2131" s="1">
        <v>425001</v>
      </c>
      <c r="H2131" s="1">
        <v>18.75</v>
      </c>
    </row>
    <row r="2132" spans="1:8" ht="21.75" customHeight="1">
      <c r="A2132" s="1" t="str">
        <f>"1202420000404397"</f>
        <v>1202420000404397</v>
      </c>
      <c r="B2132" s="1" t="s">
        <v>7878</v>
      </c>
      <c r="C2132" s="1" t="s">
        <v>7879</v>
      </c>
      <c r="D2132" s="1" t="s">
        <v>7880</v>
      </c>
      <c r="E2132" s="1" t="s">
        <v>7881</v>
      </c>
      <c r="F2132" s="1" t="s">
        <v>249</v>
      </c>
      <c r="G2132" s="1">
        <v>425002</v>
      </c>
      <c r="H2132" s="1">
        <v>37.5</v>
      </c>
    </row>
    <row r="2133" spans="1:8" ht="21.75" customHeight="1">
      <c r="A2133" s="1" t="str">
        <f>"1201090900001647"</f>
        <v>1201090900001647</v>
      </c>
      <c r="B2133" s="1" t="s">
        <v>7882</v>
      </c>
      <c r="C2133" s="1" t="s">
        <v>7883</v>
      </c>
      <c r="D2133" s="1"/>
      <c r="E2133" s="1"/>
      <c r="F2133" s="1" t="s">
        <v>7884</v>
      </c>
      <c r="G2133" s="1">
        <v>425310</v>
      </c>
      <c r="H2133" s="1">
        <v>75</v>
      </c>
    </row>
    <row r="2134" spans="1:8" ht="21.75" customHeight="1">
      <c r="A2134" s="1" t="str">
        <f>"1201090001598341"</f>
        <v>1201090001598341</v>
      </c>
      <c r="B2134" s="1" t="s">
        <v>7885</v>
      </c>
      <c r="C2134" s="1" t="s">
        <v>7886</v>
      </c>
      <c r="D2134" s="1" t="s">
        <v>7887</v>
      </c>
      <c r="E2134" s="1" t="s">
        <v>7888</v>
      </c>
      <c r="F2134" s="1" t="s">
        <v>3129</v>
      </c>
      <c r="G2134" s="1">
        <v>425412</v>
      </c>
      <c r="H2134" s="1">
        <v>37.5</v>
      </c>
    </row>
    <row r="2135" spans="1:8" ht="21.75" customHeight="1">
      <c r="A2135" s="1" t="str">
        <f>"1206420013613722"</f>
        <v>1206420013613722</v>
      </c>
      <c r="B2135" s="1" t="s">
        <v>7889</v>
      </c>
      <c r="C2135" s="1" t="s">
        <v>7890</v>
      </c>
      <c r="D2135" s="1" t="s">
        <v>7891</v>
      </c>
      <c r="E2135" s="1" t="s">
        <v>7892</v>
      </c>
      <c r="F2135" s="1" t="s">
        <v>3095</v>
      </c>
      <c r="G2135" s="1">
        <v>431001</v>
      </c>
      <c r="H2135" s="1">
        <v>101.25</v>
      </c>
    </row>
    <row r="2136" spans="1:8" ht="21.75" customHeight="1">
      <c r="A2136" s="1" t="str">
        <f>"IN30177414253124"</f>
        <v>IN30177414253124</v>
      </c>
      <c r="B2136" s="1" t="s">
        <v>7893</v>
      </c>
      <c r="C2136" s="1" t="s">
        <v>7894</v>
      </c>
      <c r="D2136" s="1" t="s">
        <v>7895</v>
      </c>
      <c r="E2136" s="1" t="s">
        <v>7896</v>
      </c>
      <c r="F2136" s="1"/>
      <c r="G2136" s="1">
        <v>431003</v>
      </c>
      <c r="H2136" s="1">
        <v>30</v>
      </c>
    </row>
    <row r="2137" spans="1:8" ht="21.75" customHeight="1">
      <c r="A2137" s="1" t="str">
        <f>"IN30177413743250"</f>
        <v>IN30177413743250</v>
      </c>
      <c r="B2137" s="1" t="s">
        <v>7897</v>
      </c>
      <c r="C2137" s="1" t="s">
        <v>7898</v>
      </c>
      <c r="D2137" s="1" t="s">
        <v>7899</v>
      </c>
      <c r="E2137" s="1" t="s">
        <v>7900</v>
      </c>
      <c r="F2137" s="1"/>
      <c r="G2137" s="1">
        <v>431131</v>
      </c>
      <c r="H2137" s="1">
        <v>7.5</v>
      </c>
    </row>
    <row r="2138" spans="1:8" ht="21.75" customHeight="1">
      <c r="A2138" s="1" t="str">
        <f>"1207780000001460"</f>
        <v>1207780000001460</v>
      </c>
      <c r="B2138" s="1" t="s">
        <v>7901</v>
      </c>
      <c r="C2138" s="1" t="s">
        <v>7902</v>
      </c>
      <c r="D2138" s="1" t="s">
        <v>7903</v>
      </c>
      <c r="E2138" s="1" t="s">
        <v>7904</v>
      </c>
      <c r="F2138" s="1" t="s">
        <v>27</v>
      </c>
      <c r="G2138" s="1">
        <v>431203</v>
      </c>
      <c r="H2138" s="1">
        <v>225</v>
      </c>
    </row>
    <row r="2139" spans="1:8" ht="21.75" customHeight="1">
      <c r="A2139" s="1" t="str">
        <f>"IN30023913229854"</f>
        <v>IN30023913229854</v>
      </c>
      <c r="B2139" s="1" t="s">
        <v>7905</v>
      </c>
      <c r="C2139" s="1" t="s">
        <v>7906</v>
      </c>
      <c r="D2139" s="1" t="s">
        <v>7907</v>
      </c>
      <c r="E2139" s="1" t="s">
        <v>7908</v>
      </c>
      <c r="F2139" s="1"/>
      <c r="G2139" s="1">
        <v>431203</v>
      </c>
      <c r="H2139" s="1">
        <v>0.75</v>
      </c>
    </row>
    <row r="2140" spans="1:8" ht="21.75" customHeight="1">
      <c r="A2140" s="1" t="str">
        <f>"IN30023913296924"</f>
        <v>IN30023913296924</v>
      </c>
      <c r="B2140" s="1" t="s">
        <v>7909</v>
      </c>
      <c r="C2140" s="1" t="s">
        <v>7910</v>
      </c>
      <c r="D2140" s="1" t="s">
        <v>7911</v>
      </c>
      <c r="E2140" s="1" t="s">
        <v>7912</v>
      </c>
      <c r="F2140" s="1"/>
      <c r="G2140" s="1">
        <v>431203</v>
      </c>
      <c r="H2140" s="1">
        <v>0.75</v>
      </c>
    </row>
    <row r="2141" spans="1:8" ht="21.75" customHeight="1">
      <c r="A2141" s="1" t="str">
        <f>"IN30177415091256"</f>
        <v>IN30177415091256</v>
      </c>
      <c r="B2141" s="1" t="s">
        <v>7913</v>
      </c>
      <c r="C2141" s="1" t="s">
        <v>7914</v>
      </c>
      <c r="D2141" s="1" t="s">
        <v>7915</v>
      </c>
      <c r="E2141" s="1" t="s">
        <v>7916</v>
      </c>
      <c r="F2141" s="1"/>
      <c r="G2141" s="1">
        <v>431401</v>
      </c>
      <c r="H2141" s="1">
        <v>7.5</v>
      </c>
    </row>
    <row r="2142" spans="1:8" ht="21.75" customHeight="1">
      <c r="A2142" s="1" t="str">
        <f>"IN30089610482529"</f>
        <v>IN30089610482529</v>
      </c>
      <c r="B2142" s="1" t="s">
        <v>7917</v>
      </c>
      <c r="C2142" s="1" t="s">
        <v>7918</v>
      </c>
      <c r="D2142" s="1" t="s">
        <v>7919</v>
      </c>
      <c r="E2142" s="1" t="s">
        <v>7920</v>
      </c>
      <c r="F2142" s="1"/>
      <c r="G2142" s="1">
        <v>431401</v>
      </c>
      <c r="H2142" s="1">
        <v>36</v>
      </c>
    </row>
    <row r="2143" spans="1:8" ht="21.75" customHeight="1">
      <c r="A2143" s="1" t="str">
        <f>"IN30045014083209"</f>
        <v>IN30045014083209</v>
      </c>
      <c r="B2143" s="1" t="s">
        <v>7921</v>
      </c>
      <c r="C2143" s="1" t="s">
        <v>7922</v>
      </c>
      <c r="D2143" s="1" t="s">
        <v>7923</v>
      </c>
      <c r="E2143" s="1" t="s">
        <v>2391</v>
      </c>
      <c r="F2143" s="1"/>
      <c r="G2143" s="1">
        <v>431505</v>
      </c>
      <c r="H2143" s="1">
        <v>37.5</v>
      </c>
    </row>
    <row r="2144" spans="1:8" ht="21.75" customHeight="1">
      <c r="A2144" s="1" t="str">
        <f>"1203350000196782"</f>
        <v>1203350000196782</v>
      </c>
      <c r="B2144" s="1" t="s">
        <v>7924</v>
      </c>
      <c r="C2144" s="1" t="s">
        <v>7925</v>
      </c>
      <c r="D2144" s="1"/>
      <c r="E2144" s="1"/>
      <c r="F2144" s="1" t="s">
        <v>7926</v>
      </c>
      <c r="G2144" s="1">
        <v>431515</v>
      </c>
      <c r="H2144" s="1">
        <v>30</v>
      </c>
    </row>
    <row r="2145" spans="1:8" ht="21.75" customHeight="1">
      <c r="A2145" s="1" t="str">
        <f>"IN30051312071222"</f>
        <v>IN30051312071222</v>
      </c>
      <c r="B2145" s="1" t="s">
        <v>7927</v>
      </c>
      <c r="C2145" s="1" t="s">
        <v>7928</v>
      </c>
      <c r="D2145" s="1" t="s">
        <v>7929</v>
      </c>
      <c r="E2145" s="1" t="s">
        <v>6192</v>
      </c>
      <c r="F2145" s="1"/>
      <c r="G2145" s="1">
        <v>431516</v>
      </c>
      <c r="H2145" s="1">
        <v>75</v>
      </c>
    </row>
    <row r="2146" spans="1:8" ht="21.75" customHeight="1">
      <c r="A2146" s="1" t="str">
        <f>"IN30169611368737"</f>
        <v>IN30169611368737</v>
      </c>
      <c r="B2146" s="1" t="s">
        <v>7930</v>
      </c>
      <c r="C2146" s="1" t="s">
        <v>7931</v>
      </c>
      <c r="D2146" s="1" t="s">
        <v>7932</v>
      </c>
      <c r="E2146" s="1" t="s">
        <v>7933</v>
      </c>
      <c r="F2146" s="1"/>
      <c r="G2146" s="1">
        <v>431714</v>
      </c>
      <c r="H2146" s="1">
        <v>75</v>
      </c>
    </row>
    <row r="2147" spans="1:8" ht="21.75" customHeight="1">
      <c r="A2147" s="1" t="str">
        <f>"1203320001866247"</f>
        <v>1203320001866247</v>
      </c>
      <c r="B2147" s="1" t="s">
        <v>7934</v>
      </c>
      <c r="C2147" s="1" t="s">
        <v>7935</v>
      </c>
      <c r="D2147" s="1" t="s">
        <v>7936</v>
      </c>
      <c r="E2147" s="1"/>
      <c r="F2147" s="1" t="s">
        <v>261</v>
      </c>
      <c r="G2147" s="1">
        <v>440002</v>
      </c>
      <c r="H2147" s="1">
        <v>75</v>
      </c>
    </row>
    <row r="2148" spans="1:8" ht="21.75" customHeight="1">
      <c r="A2148" s="1" t="str">
        <f>"1201060002201474"</f>
        <v>1201060002201474</v>
      </c>
      <c r="B2148" s="1" t="s">
        <v>7937</v>
      </c>
      <c r="C2148" s="1" t="s">
        <v>7938</v>
      </c>
      <c r="D2148" s="1" t="s">
        <v>7939</v>
      </c>
      <c r="E2148" s="1"/>
      <c r="F2148" s="1" t="s">
        <v>7940</v>
      </c>
      <c r="G2148" s="1">
        <v>441302</v>
      </c>
      <c r="H2148" s="1">
        <v>7.5</v>
      </c>
    </row>
    <row r="2149" spans="1:8" ht="21.75" customHeight="1">
      <c r="A2149" s="1" t="str">
        <f>"IN30169611721892"</f>
        <v>IN30169611721892</v>
      </c>
      <c r="B2149" s="1" t="s">
        <v>7942</v>
      </c>
      <c r="C2149" s="1" t="s">
        <v>7943</v>
      </c>
      <c r="D2149" s="1" t="s">
        <v>7944</v>
      </c>
      <c r="E2149" s="1" t="s">
        <v>7941</v>
      </c>
      <c r="F2149" s="1"/>
      <c r="G2149" s="1">
        <v>441601</v>
      </c>
      <c r="H2149" s="1">
        <v>15</v>
      </c>
    </row>
    <row r="2150" spans="1:8" ht="21.75" customHeight="1">
      <c r="A2150" s="1" t="str">
        <f>"IN30181110155032"</f>
        <v>IN30181110155032</v>
      </c>
      <c r="B2150" s="1" t="s">
        <v>7945</v>
      </c>
      <c r="C2150" s="1" t="s">
        <v>7946</v>
      </c>
      <c r="D2150" s="1"/>
      <c r="E2150" s="1" t="s">
        <v>3147</v>
      </c>
      <c r="F2150" s="1"/>
      <c r="G2150" s="1">
        <v>441904</v>
      </c>
      <c r="H2150" s="1">
        <v>7.5</v>
      </c>
    </row>
    <row r="2151" spans="1:8" ht="21.75" customHeight="1">
      <c r="A2151" s="1" t="str">
        <f>"IN30051315907926"</f>
        <v>IN30051315907926</v>
      </c>
      <c r="B2151" s="1" t="s">
        <v>7947</v>
      </c>
      <c r="C2151" s="1" t="s">
        <v>7948</v>
      </c>
      <c r="D2151" s="1" t="s">
        <v>7949</v>
      </c>
      <c r="E2151" s="1" t="s">
        <v>7950</v>
      </c>
      <c r="F2151" s="1"/>
      <c r="G2151" s="1">
        <v>442001</v>
      </c>
      <c r="H2151" s="1">
        <v>37.5</v>
      </c>
    </row>
    <row r="2152" spans="1:8" ht="21.75" customHeight="1">
      <c r="A2152" s="1" t="str">
        <f>"IN30051319829888"</f>
        <v>IN30051319829888</v>
      </c>
      <c r="B2152" s="1" t="s">
        <v>7951</v>
      </c>
      <c r="C2152" s="1" t="s">
        <v>7952</v>
      </c>
      <c r="D2152" s="1" t="s">
        <v>7953</v>
      </c>
      <c r="E2152" s="1" t="s">
        <v>7954</v>
      </c>
      <c r="F2152" s="1"/>
      <c r="G2152" s="1">
        <v>442301</v>
      </c>
      <c r="H2152" s="1">
        <v>3.75</v>
      </c>
    </row>
    <row r="2153" spans="1:8" ht="21.75" customHeight="1">
      <c r="A2153" s="1" t="str">
        <f>"1204720010993946"</f>
        <v>1204720010993946</v>
      </c>
      <c r="B2153" s="1" t="s">
        <v>7955</v>
      </c>
      <c r="C2153" s="1" t="s">
        <v>7956</v>
      </c>
      <c r="D2153" s="1" t="s">
        <v>7957</v>
      </c>
      <c r="E2153" s="1" t="s">
        <v>7958</v>
      </c>
      <c r="F2153" s="1" t="s">
        <v>2846</v>
      </c>
      <c r="G2153" s="1">
        <v>442401</v>
      </c>
      <c r="H2153" s="1">
        <v>3.75</v>
      </c>
    </row>
    <row r="2154" spans="1:8" ht="21.75" customHeight="1">
      <c r="A2154" s="1" t="str">
        <f>"IN30169611109694"</f>
        <v>IN30169611109694</v>
      </c>
      <c r="B2154" s="1" t="s">
        <v>7959</v>
      </c>
      <c r="C2154" s="1" t="s">
        <v>7960</v>
      </c>
      <c r="D2154" s="1" t="s">
        <v>7961</v>
      </c>
      <c r="E2154" s="1" t="s">
        <v>7962</v>
      </c>
      <c r="F2154" s="1"/>
      <c r="G2154" s="1">
        <v>442701</v>
      </c>
      <c r="H2154" s="1">
        <v>30</v>
      </c>
    </row>
    <row r="2155" spans="1:8" ht="21.75" customHeight="1">
      <c r="A2155" s="1" t="str">
        <f>"1201090002198356"</f>
        <v>1201090002198356</v>
      </c>
      <c r="B2155" s="1" t="s">
        <v>7963</v>
      </c>
      <c r="C2155" s="1" t="s">
        <v>7964</v>
      </c>
      <c r="D2155" s="1" t="s">
        <v>7965</v>
      </c>
      <c r="E2155" s="1" t="s">
        <v>7966</v>
      </c>
      <c r="F2155" s="1" t="s">
        <v>878</v>
      </c>
      <c r="G2155" s="1">
        <v>444001</v>
      </c>
      <c r="H2155" s="1">
        <v>150</v>
      </c>
    </row>
    <row r="2156" spans="1:8" ht="21.75" customHeight="1">
      <c r="A2156" s="1" t="str">
        <f>"1303580000045107"</f>
        <v>1303580000045107</v>
      </c>
      <c r="B2156" s="1" t="s">
        <v>7967</v>
      </c>
      <c r="C2156" s="1" t="s">
        <v>7968</v>
      </c>
      <c r="D2156" s="1" t="s">
        <v>7969</v>
      </c>
      <c r="E2156" s="1"/>
      <c r="F2156" s="1" t="s">
        <v>878</v>
      </c>
      <c r="G2156" s="1">
        <v>444001</v>
      </c>
      <c r="H2156" s="1">
        <v>75</v>
      </c>
    </row>
    <row r="2157" spans="1:8" ht="21.75" customHeight="1">
      <c r="A2157" s="1" t="str">
        <f>"1302310000040998"</f>
        <v>1302310000040998</v>
      </c>
      <c r="B2157" s="1" t="s">
        <v>7970</v>
      </c>
      <c r="C2157" s="1" t="s">
        <v>7971</v>
      </c>
      <c r="D2157" s="1" t="s">
        <v>7972</v>
      </c>
      <c r="E2157" s="1" t="s">
        <v>7973</v>
      </c>
      <c r="F2157" s="1" t="s">
        <v>878</v>
      </c>
      <c r="G2157" s="1">
        <v>444001</v>
      </c>
      <c r="H2157" s="1">
        <v>9</v>
      </c>
    </row>
    <row r="2158" spans="1:8" ht="21.75" customHeight="1">
      <c r="A2158" s="1" t="str">
        <f>"1201090000123320"</f>
        <v>1201090000123320</v>
      </c>
      <c r="B2158" s="1" t="s">
        <v>7974</v>
      </c>
      <c r="C2158" s="1" t="s">
        <v>7975</v>
      </c>
      <c r="D2158" s="1" t="s">
        <v>7976</v>
      </c>
      <c r="E2158" s="1"/>
      <c r="F2158" s="1" t="s">
        <v>878</v>
      </c>
      <c r="G2158" s="1">
        <v>444001</v>
      </c>
      <c r="H2158" s="1">
        <v>759.75</v>
      </c>
    </row>
    <row r="2159" spans="1:8" ht="21.75" customHeight="1">
      <c r="A2159" s="1" t="str">
        <f>"1203320007602622"</f>
        <v>1203320007602622</v>
      </c>
      <c r="B2159" s="1" t="s">
        <v>7977</v>
      </c>
      <c r="C2159" s="1" t="s">
        <v>7978</v>
      </c>
      <c r="D2159" s="1" t="s">
        <v>7979</v>
      </c>
      <c r="E2159" s="1"/>
      <c r="F2159" s="1" t="s">
        <v>878</v>
      </c>
      <c r="G2159" s="1">
        <v>444001</v>
      </c>
      <c r="H2159" s="1">
        <v>187.5</v>
      </c>
    </row>
    <row r="2160" spans="1:8" ht="21.75" customHeight="1">
      <c r="A2160" s="1" t="str">
        <f>"1302310000040983"</f>
        <v>1302310000040983</v>
      </c>
      <c r="B2160" s="1" t="s">
        <v>7980</v>
      </c>
      <c r="C2160" s="1" t="s">
        <v>7981</v>
      </c>
      <c r="D2160" s="1" t="s">
        <v>7982</v>
      </c>
      <c r="E2160" s="1" t="s">
        <v>7983</v>
      </c>
      <c r="F2160" s="1" t="s">
        <v>878</v>
      </c>
      <c r="G2160" s="1">
        <v>444005</v>
      </c>
      <c r="H2160" s="1">
        <v>337</v>
      </c>
    </row>
    <row r="2161" spans="1:8" ht="21.75" customHeight="1">
      <c r="A2161" s="1" t="str">
        <f>"1204480000005928"</f>
        <v>1204480000005928</v>
      </c>
      <c r="B2161" s="1" t="s">
        <v>7984</v>
      </c>
      <c r="C2161" s="1" t="s">
        <v>7985</v>
      </c>
      <c r="D2161" s="1" t="s">
        <v>7986</v>
      </c>
      <c r="E2161" s="1"/>
      <c r="F2161" s="1" t="s">
        <v>7987</v>
      </c>
      <c r="G2161" s="1">
        <v>444105</v>
      </c>
      <c r="H2161" s="1">
        <v>75</v>
      </c>
    </row>
    <row r="2162" spans="1:8" ht="21.75" customHeight="1">
      <c r="A2162" s="1" t="str">
        <f>"1201130000169767"</f>
        <v>1201130000169767</v>
      </c>
      <c r="B2162" s="1" t="s">
        <v>3180</v>
      </c>
      <c r="C2162" s="1" t="s">
        <v>7988</v>
      </c>
      <c r="D2162" s="1" t="s">
        <v>7989</v>
      </c>
      <c r="E2162" s="1" t="s">
        <v>7990</v>
      </c>
      <c r="F2162" s="1" t="s">
        <v>3183</v>
      </c>
      <c r="G2162" s="1">
        <v>444601</v>
      </c>
      <c r="H2162" s="1">
        <v>183</v>
      </c>
    </row>
    <row r="2163" spans="1:8" ht="21.75" customHeight="1">
      <c r="A2163" s="1" t="str">
        <f>"IN30177417316957"</f>
        <v>IN30177417316957</v>
      </c>
      <c r="B2163" s="1" t="s">
        <v>7991</v>
      </c>
      <c r="C2163" s="1" t="s">
        <v>7992</v>
      </c>
      <c r="D2163" s="1"/>
      <c r="E2163" s="1" t="s">
        <v>3183</v>
      </c>
      <c r="F2163" s="1"/>
      <c r="G2163" s="1">
        <v>444601</v>
      </c>
      <c r="H2163" s="1">
        <v>7.5</v>
      </c>
    </row>
    <row r="2164" spans="1:8" ht="21.75" customHeight="1">
      <c r="A2164" s="1" t="str">
        <f>"1203600000053990"</f>
        <v>1203600000053990</v>
      </c>
      <c r="B2164" s="1" t="s">
        <v>7993</v>
      </c>
      <c r="C2164" s="1" t="s">
        <v>7994</v>
      </c>
      <c r="D2164" s="1" t="s">
        <v>7995</v>
      </c>
      <c r="E2164" s="1"/>
      <c r="F2164" s="1" t="s">
        <v>3183</v>
      </c>
      <c r="G2164" s="1">
        <v>444602</v>
      </c>
      <c r="H2164" s="1">
        <v>7.5</v>
      </c>
    </row>
    <row r="2165" spans="1:8" ht="21.75" customHeight="1">
      <c r="A2165" s="1" t="str">
        <f>"1202700000093275"</f>
        <v>1202700000093275</v>
      </c>
      <c r="B2165" s="1" t="s">
        <v>7996</v>
      </c>
      <c r="C2165" s="1" t="s">
        <v>7997</v>
      </c>
      <c r="D2165" s="1" t="s">
        <v>7998</v>
      </c>
      <c r="E2165" s="1"/>
      <c r="F2165" s="1" t="s">
        <v>7999</v>
      </c>
      <c r="G2165" s="1">
        <v>444604</v>
      </c>
      <c r="H2165" s="1">
        <v>1.5</v>
      </c>
    </row>
    <row r="2166" spans="1:8" ht="21.75" customHeight="1">
      <c r="A2166" s="1" t="str">
        <f>"1201910100723276"</f>
        <v>1201910100723276</v>
      </c>
      <c r="B2166" s="1" t="s">
        <v>8000</v>
      </c>
      <c r="C2166" s="1" t="s">
        <v>8001</v>
      </c>
      <c r="D2166" s="1" t="s">
        <v>410</v>
      </c>
      <c r="E2166" s="1"/>
      <c r="F2166" s="1" t="s">
        <v>3183</v>
      </c>
      <c r="G2166" s="1">
        <v>444604</v>
      </c>
      <c r="H2166" s="1">
        <v>30</v>
      </c>
    </row>
    <row r="2167" spans="1:8" ht="21.75" customHeight="1">
      <c r="A2167" s="1" t="str">
        <f>"IN30112716912164"</f>
        <v>IN30112716912164</v>
      </c>
      <c r="B2167" s="1" t="s">
        <v>8002</v>
      </c>
      <c r="C2167" s="1" t="s">
        <v>8003</v>
      </c>
      <c r="D2167" s="1" t="s">
        <v>8004</v>
      </c>
      <c r="E2167" s="1" t="s">
        <v>3183</v>
      </c>
      <c r="F2167" s="1"/>
      <c r="G2167" s="1">
        <v>444605</v>
      </c>
      <c r="H2167" s="1">
        <v>9</v>
      </c>
    </row>
    <row r="2168" spans="1:8" ht="21.75" customHeight="1">
      <c r="A2168" s="1" t="str">
        <f>"1203350001117506"</f>
        <v>1203350001117506</v>
      </c>
      <c r="B2168" s="1" t="s">
        <v>8005</v>
      </c>
      <c r="C2168" s="1" t="s">
        <v>8006</v>
      </c>
      <c r="D2168" s="1" t="s">
        <v>8007</v>
      </c>
      <c r="E2168" s="1" t="s">
        <v>8008</v>
      </c>
      <c r="F2168" s="1" t="s">
        <v>8009</v>
      </c>
      <c r="G2168" s="1">
        <v>444606</v>
      </c>
      <c r="H2168" s="1">
        <v>18.75</v>
      </c>
    </row>
    <row r="2169" spans="1:8" ht="21.75" customHeight="1">
      <c r="A2169" s="1" t="str">
        <f>"1204330000084188"</f>
        <v>1204330000084188</v>
      </c>
      <c r="B2169" s="1" t="s">
        <v>8010</v>
      </c>
      <c r="C2169" s="1" t="s">
        <v>8011</v>
      </c>
      <c r="D2169" s="1" t="s">
        <v>3197</v>
      </c>
      <c r="E2169" s="1"/>
      <c r="F2169" s="1" t="s">
        <v>3183</v>
      </c>
      <c r="G2169" s="1">
        <v>444905</v>
      </c>
      <c r="H2169" s="1">
        <v>150</v>
      </c>
    </row>
    <row r="2170" spans="1:8" ht="21.75" customHeight="1">
      <c r="A2170" s="1" t="str">
        <f>"1203350001808641"</f>
        <v>1203350001808641</v>
      </c>
      <c r="B2170" s="1" t="s">
        <v>8012</v>
      </c>
      <c r="C2170" s="1" t="s">
        <v>8013</v>
      </c>
      <c r="D2170" s="1" t="s">
        <v>8014</v>
      </c>
      <c r="E2170" s="1"/>
      <c r="F2170" s="1" t="s">
        <v>8015</v>
      </c>
      <c r="G2170" s="1">
        <v>445001</v>
      </c>
      <c r="H2170" s="1">
        <v>105</v>
      </c>
    </row>
    <row r="2171" spans="1:8" ht="21.75" customHeight="1">
      <c r="A2171" s="1" t="str">
        <f>"1301440001889106"</f>
        <v>1301440001889106</v>
      </c>
      <c r="B2171" s="1" t="s">
        <v>8016</v>
      </c>
      <c r="C2171" s="1" t="s">
        <v>8017</v>
      </c>
      <c r="D2171" s="1" t="s">
        <v>8018</v>
      </c>
      <c r="E2171" s="1"/>
      <c r="F2171" s="1" t="s">
        <v>8015</v>
      </c>
      <c r="G2171" s="1">
        <v>445001</v>
      </c>
      <c r="H2171" s="1">
        <v>15</v>
      </c>
    </row>
    <row r="2172" spans="1:8" ht="21.75" customHeight="1">
      <c r="A2172" s="1" t="str">
        <f>"1203320000856366"</f>
        <v>1203320000856366</v>
      </c>
      <c r="B2172" s="1" t="s">
        <v>8019</v>
      </c>
      <c r="C2172" s="1" t="s">
        <v>8020</v>
      </c>
      <c r="D2172" s="1" t="s">
        <v>8021</v>
      </c>
      <c r="E2172" s="1"/>
      <c r="F2172" s="1" t="s">
        <v>8015</v>
      </c>
      <c r="G2172" s="1">
        <v>445001</v>
      </c>
      <c r="H2172" s="1">
        <v>375</v>
      </c>
    </row>
    <row r="2173" spans="1:8" ht="21.75" customHeight="1">
      <c r="A2173" s="1" t="str">
        <f>"1203330000535327"</f>
        <v>1203330000535327</v>
      </c>
      <c r="B2173" s="1" t="s">
        <v>8022</v>
      </c>
      <c r="C2173" s="1" t="s">
        <v>8023</v>
      </c>
      <c r="D2173" s="1" t="s">
        <v>8024</v>
      </c>
      <c r="E2173" s="1" t="s">
        <v>8025</v>
      </c>
      <c r="F2173" s="1" t="s">
        <v>8026</v>
      </c>
      <c r="G2173" s="1">
        <v>445204</v>
      </c>
      <c r="H2173" s="1">
        <v>18.75</v>
      </c>
    </row>
    <row r="2174" spans="1:8" ht="21.75" customHeight="1">
      <c r="A2174" s="1" t="str">
        <f>"IN30045014068943"</f>
        <v>IN30045014068943</v>
      </c>
      <c r="B2174" s="1" t="s">
        <v>8027</v>
      </c>
      <c r="C2174" s="1" t="s">
        <v>8028</v>
      </c>
      <c r="D2174" s="1" t="s">
        <v>8029</v>
      </c>
      <c r="E2174" s="1" t="s">
        <v>8030</v>
      </c>
      <c r="F2174" s="1"/>
      <c r="G2174" s="1">
        <v>445304</v>
      </c>
      <c r="H2174" s="1">
        <v>5.25</v>
      </c>
    </row>
    <row r="2175" spans="1:8" ht="21.75" customHeight="1">
      <c r="A2175" s="1" t="str">
        <f>"1204720009639026"</f>
        <v>1204720009639026</v>
      </c>
      <c r="B2175" s="1" t="s">
        <v>8032</v>
      </c>
      <c r="C2175" s="1" t="s">
        <v>8033</v>
      </c>
      <c r="D2175" s="1" t="s">
        <v>8034</v>
      </c>
      <c r="E2175" s="1" t="s">
        <v>8035</v>
      </c>
      <c r="F2175" s="1" t="s">
        <v>8031</v>
      </c>
      <c r="G2175" s="1">
        <v>450001</v>
      </c>
      <c r="H2175" s="1">
        <v>71.25</v>
      </c>
    </row>
    <row r="2176" spans="1:8" ht="21.75" customHeight="1">
      <c r="A2176" s="1" t="str">
        <f>"1203320000663540"</f>
        <v>1203320000663540</v>
      </c>
      <c r="B2176" s="1" t="s">
        <v>8036</v>
      </c>
      <c r="C2176" s="1" t="s">
        <v>8037</v>
      </c>
      <c r="D2176" s="1" t="s">
        <v>8038</v>
      </c>
      <c r="E2176" s="1" t="s">
        <v>8039</v>
      </c>
      <c r="F2176" s="1" t="s">
        <v>883</v>
      </c>
      <c r="G2176" s="1">
        <v>452005</v>
      </c>
      <c r="H2176" s="1">
        <v>104.25</v>
      </c>
    </row>
    <row r="2177" spans="1:8" ht="21.75" customHeight="1">
      <c r="A2177" s="1" t="str">
        <f>"1302340000279334"</f>
        <v>1302340000279334</v>
      </c>
      <c r="B2177" s="1" t="s">
        <v>8040</v>
      </c>
      <c r="C2177" s="1" t="s">
        <v>8041</v>
      </c>
      <c r="D2177" s="1" t="s">
        <v>8042</v>
      </c>
      <c r="E2177" s="1" t="s">
        <v>8043</v>
      </c>
      <c r="F2177" s="1" t="s">
        <v>883</v>
      </c>
      <c r="G2177" s="1">
        <v>452007</v>
      </c>
      <c r="H2177" s="1">
        <v>150</v>
      </c>
    </row>
    <row r="2178" spans="1:8" ht="21.75" customHeight="1">
      <c r="A2178" s="1" t="str">
        <f>"IN30198310501510"</f>
        <v>IN30198310501510</v>
      </c>
      <c r="B2178" s="1" t="s">
        <v>8044</v>
      </c>
      <c r="C2178" s="1" t="s">
        <v>8045</v>
      </c>
      <c r="D2178" s="1"/>
      <c r="E2178" s="1" t="s">
        <v>8046</v>
      </c>
      <c r="F2178" s="1"/>
      <c r="G2178" s="1">
        <v>452009</v>
      </c>
      <c r="H2178" s="1">
        <v>3.75</v>
      </c>
    </row>
    <row r="2179" spans="1:8" ht="21.75" customHeight="1">
      <c r="A2179" s="1" t="str">
        <f>"1204370000123771"</f>
        <v>1204370000123771</v>
      </c>
      <c r="B2179" s="1" t="s">
        <v>8047</v>
      </c>
      <c r="C2179" s="1" t="s">
        <v>8048</v>
      </c>
      <c r="D2179" s="1"/>
      <c r="E2179" s="1"/>
      <c r="F2179" s="1" t="s">
        <v>8049</v>
      </c>
      <c r="G2179" s="1">
        <v>455001</v>
      </c>
      <c r="H2179" s="1">
        <v>31.5</v>
      </c>
    </row>
    <row r="2180" spans="1:8" ht="21.75" customHeight="1">
      <c r="A2180" s="1" t="str">
        <f>"IN30226912742822"</f>
        <v>IN30226912742822</v>
      </c>
      <c r="B2180" s="1" t="s">
        <v>8050</v>
      </c>
      <c r="C2180" s="1" t="s">
        <v>8051</v>
      </c>
      <c r="D2180" s="1" t="s">
        <v>3212</v>
      </c>
      <c r="E2180" s="1" t="s">
        <v>8052</v>
      </c>
      <c r="F2180" s="1"/>
      <c r="G2180" s="1">
        <v>455001</v>
      </c>
      <c r="H2180" s="1">
        <v>37.5</v>
      </c>
    </row>
    <row r="2181" spans="1:8" ht="21.75" customHeight="1">
      <c r="A2181" s="1" t="str">
        <f>"1202620000181422"</f>
        <v>1202620000181422</v>
      </c>
      <c r="B2181" s="1" t="s">
        <v>8053</v>
      </c>
      <c r="C2181" s="1" t="s">
        <v>8054</v>
      </c>
      <c r="D2181" s="1" t="s">
        <v>8055</v>
      </c>
      <c r="E2181" s="1"/>
      <c r="F2181" s="1" t="s">
        <v>3212</v>
      </c>
      <c r="G2181" s="1">
        <v>455001</v>
      </c>
      <c r="H2181" s="1">
        <v>0.75</v>
      </c>
    </row>
    <row r="2182" spans="1:8" ht="21.75" customHeight="1">
      <c r="A2182" s="1" t="str">
        <f>"1204370000091599"</f>
        <v>1204370000091599</v>
      </c>
      <c r="B2182" s="1" t="s">
        <v>8056</v>
      </c>
      <c r="C2182" s="1" t="s">
        <v>8057</v>
      </c>
      <c r="D2182" s="1"/>
      <c r="E2182" s="1"/>
      <c r="F2182" s="1" t="s">
        <v>8058</v>
      </c>
      <c r="G2182" s="1">
        <v>456001</v>
      </c>
      <c r="H2182" s="1">
        <v>75</v>
      </c>
    </row>
    <row r="2183" spans="1:8" ht="21.75" customHeight="1">
      <c r="A2183" s="1" t="str">
        <f>"IN30177414829487"</f>
        <v>IN30177414829487</v>
      </c>
      <c r="B2183" s="1" t="s">
        <v>8059</v>
      </c>
      <c r="C2183" s="1" t="s">
        <v>8060</v>
      </c>
      <c r="D2183" s="1" t="s">
        <v>8061</v>
      </c>
      <c r="E2183" s="1" t="s">
        <v>266</v>
      </c>
      <c r="F2183" s="1"/>
      <c r="G2183" s="1">
        <v>456006</v>
      </c>
      <c r="H2183" s="1">
        <v>75</v>
      </c>
    </row>
    <row r="2184" spans="1:8" ht="21.75" customHeight="1">
      <c r="A2184" s="1" t="str">
        <f>"1203460000005504"</f>
        <v>1203460000005504</v>
      </c>
      <c r="B2184" s="1" t="s">
        <v>8062</v>
      </c>
      <c r="C2184" s="1" t="s">
        <v>8063</v>
      </c>
      <c r="D2184" s="1"/>
      <c r="E2184" s="1"/>
      <c r="F2184" s="1" t="s">
        <v>266</v>
      </c>
      <c r="G2184" s="1">
        <v>456010</v>
      </c>
      <c r="H2184" s="1">
        <v>1.5</v>
      </c>
    </row>
    <row r="2185" spans="1:8" ht="21.75" customHeight="1">
      <c r="A2185" s="1" t="str">
        <f>"IN30198310153728"</f>
        <v>IN30198310153728</v>
      </c>
      <c r="B2185" s="1" t="s">
        <v>8065</v>
      </c>
      <c r="C2185" s="1" t="s">
        <v>8066</v>
      </c>
      <c r="D2185" s="1"/>
      <c r="E2185" s="1" t="s">
        <v>8067</v>
      </c>
      <c r="F2185" s="1"/>
      <c r="G2185" s="1">
        <v>457001</v>
      </c>
      <c r="H2185" s="1">
        <v>196.5</v>
      </c>
    </row>
    <row r="2186" spans="1:8" ht="21.75" customHeight="1">
      <c r="A2186" s="1" t="str">
        <f>"1203840001225275"</f>
        <v>1203840001225275</v>
      </c>
      <c r="B2186" s="1" t="s">
        <v>8068</v>
      </c>
      <c r="C2186" s="1" t="s">
        <v>8069</v>
      </c>
      <c r="D2186" s="1" t="s">
        <v>8070</v>
      </c>
      <c r="E2186" s="1"/>
      <c r="F2186" s="1" t="s">
        <v>8064</v>
      </c>
      <c r="G2186" s="1">
        <v>457001</v>
      </c>
      <c r="H2186" s="1">
        <v>168.75</v>
      </c>
    </row>
    <row r="2187" spans="1:8" ht="21.75" customHeight="1">
      <c r="A2187" s="1" t="str">
        <f>"1203320001336821"</f>
        <v>1203320001336821</v>
      </c>
      <c r="B2187" s="1" t="s">
        <v>8071</v>
      </c>
      <c r="C2187" s="2">
        <v>44953</v>
      </c>
      <c r="D2187" s="1" t="s">
        <v>8072</v>
      </c>
      <c r="E2187" s="1"/>
      <c r="F2187" s="1" t="s">
        <v>8064</v>
      </c>
      <c r="G2187" s="1">
        <v>457001</v>
      </c>
      <c r="H2187" s="1">
        <v>150</v>
      </c>
    </row>
    <row r="2188" spans="1:8" ht="21.75" customHeight="1">
      <c r="A2188" s="1" t="str">
        <f>"1203440000351843"</f>
        <v>1203440000351843</v>
      </c>
      <c r="B2188" s="1" t="s">
        <v>8074</v>
      </c>
      <c r="C2188" s="1" t="s">
        <v>8075</v>
      </c>
      <c r="D2188" s="1" t="s">
        <v>8076</v>
      </c>
      <c r="E2188" s="1" t="s">
        <v>8077</v>
      </c>
      <c r="F2188" s="1" t="s">
        <v>8077</v>
      </c>
      <c r="G2188" s="1">
        <v>461115</v>
      </c>
      <c r="H2188" s="1">
        <v>75</v>
      </c>
    </row>
    <row r="2189" spans="1:8" ht="21.75" customHeight="1">
      <c r="A2189" s="1" t="str">
        <f>"1203450000489035"</f>
        <v>1203450000489035</v>
      </c>
      <c r="B2189" s="1" t="s">
        <v>8078</v>
      </c>
      <c r="C2189" s="1" t="s">
        <v>8079</v>
      </c>
      <c r="D2189" s="1" t="s">
        <v>8080</v>
      </c>
      <c r="E2189" s="1" t="s">
        <v>8081</v>
      </c>
      <c r="F2189" s="1" t="s">
        <v>8073</v>
      </c>
      <c r="G2189" s="1">
        <v>461775</v>
      </c>
      <c r="H2189" s="1">
        <v>37.5</v>
      </c>
    </row>
    <row r="2190" spans="1:8" ht="21.75" customHeight="1">
      <c r="A2190" s="1" t="str">
        <f>"IN30018313101179"</f>
        <v>IN30018313101179</v>
      </c>
      <c r="B2190" s="1" t="s">
        <v>8082</v>
      </c>
      <c r="C2190" s="1" t="s">
        <v>8083</v>
      </c>
      <c r="D2190" s="1" t="s">
        <v>8084</v>
      </c>
      <c r="E2190" s="1" t="s">
        <v>8085</v>
      </c>
      <c r="F2190" s="1"/>
      <c r="G2190" s="1">
        <v>462001</v>
      </c>
      <c r="H2190" s="1">
        <v>3.75</v>
      </c>
    </row>
    <row r="2191" spans="1:8" ht="21.75" customHeight="1">
      <c r="A2191" s="1" t="str">
        <f>"1203160000178427"</f>
        <v>1203160000178427</v>
      </c>
      <c r="B2191" s="1" t="s">
        <v>8086</v>
      </c>
      <c r="C2191" s="1" t="s">
        <v>8087</v>
      </c>
      <c r="D2191" s="1" t="s">
        <v>8088</v>
      </c>
      <c r="E2191" s="1"/>
      <c r="F2191" s="1" t="s">
        <v>3231</v>
      </c>
      <c r="G2191" s="1">
        <v>462001</v>
      </c>
      <c r="H2191" s="1">
        <v>225</v>
      </c>
    </row>
    <row r="2192" spans="1:8" ht="21.75" customHeight="1">
      <c r="A2192" s="1" t="str">
        <f>"1208160075892257"</f>
        <v>1208160075892257</v>
      </c>
      <c r="B2192" s="1" t="s">
        <v>8089</v>
      </c>
      <c r="C2192" s="1" t="s">
        <v>8090</v>
      </c>
      <c r="D2192" s="1" t="s">
        <v>8091</v>
      </c>
      <c r="E2192" s="1"/>
      <c r="F2192" s="1" t="s">
        <v>3231</v>
      </c>
      <c r="G2192" s="1">
        <v>462003</v>
      </c>
      <c r="H2192" s="1">
        <v>66</v>
      </c>
    </row>
    <row r="2193" spans="1:8" ht="21.75" customHeight="1">
      <c r="A2193" s="1" t="str">
        <f>"1203160000044221"</f>
        <v>1203160000044221</v>
      </c>
      <c r="B2193" s="1" t="s">
        <v>8092</v>
      </c>
      <c r="C2193" s="1" t="s">
        <v>8093</v>
      </c>
      <c r="D2193" s="1" t="s">
        <v>8094</v>
      </c>
      <c r="E2193" s="1"/>
      <c r="F2193" s="1" t="s">
        <v>3231</v>
      </c>
      <c r="G2193" s="1">
        <v>462016</v>
      </c>
      <c r="H2193" s="1">
        <v>750</v>
      </c>
    </row>
    <row r="2194" spans="1:8" ht="21.75" customHeight="1">
      <c r="A2194" s="1" t="str">
        <f>"1204720011191501"</f>
        <v>1204720011191501</v>
      </c>
      <c r="B2194" s="1" t="s">
        <v>8096</v>
      </c>
      <c r="C2194" s="1" t="s">
        <v>8097</v>
      </c>
      <c r="D2194" s="1" t="s">
        <v>8098</v>
      </c>
      <c r="E2194" s="1" t="s">
        <v>410</v>
      </c>
      <c r="F2194" s="1" t="s">
        <v>8095</v>
      </c>
      <c r="G2194" s="1">
        <v>464001</v>
      </c>
      <c r="H2194" s="1">
        <v>75</v>
      </c>
    </row>
    <row r="2195" spans="1:8" ht="21.75" customHeight="1">
      <c r="A2195" s="1" t="str">
        <f>"IN30198310267268"</f>
        <v>IN30198310267268</v>
      </c>
      <c r="B2195" s="1" t="s">
        <v>8099</v>
      </c>
      <c r="C2195" s="1" t="s">
        <v>8100</v>
      </c>
      <c r="D2195" s="1"/>
      <c r="E2195" s="1" t="s">
        <v>8101</v>
      </c>
      <c r="F2195" s="1"/>
      <c r="G2195" s="1">
        <v>466001</v>
      </c>
      <c r="H2195" s="1">
        <v>112.5</v>
      </c>
    </row>
    <row r="2196" spans="1:8" ht="21.75" customHeight="1">
      <c r="A2196" s="1" t="str">
        <f>"1204720011043433"</f>
        <v>1204720011043433</v>
      </c>
      <c r="B2196" s="1" t="s">
        <v>8103</v>
      </c>
      <c r="C2196" s="2">
        <v>45142</v>
      </c>
      <c r="D2196" s="1" t="s">
        <v>1281</v>
      </c>
      <c r="E2196" s="1" t="s">
        <v>8104</v>
      </c>
      <c r="F2196" s="1" t="s">
        <v>8104</v>
      </c>
      <c r="G2196" s="1">
        <v>470002</v>
      </c>
      <c r="H2196" s="1">
        <v>8.25</v>
      </c>
    </row>
    <row r="2197" spans="1:8" ht="21.75" customHeight="1">
      <c r="A2197" s="1" t="str">
        <f>"1203350001659427"</f>
        <v>1203350001659427</v>
      </c>
      <c r="B2197" s="1" t="s">
        <v>8105</v>
      </c>
      <c r="C2197" s="1">
        <v>1403</v>
      </c>
      <c r="D2197" s="1" t="s">
        <v>8106</v>
      </c>
      <c r="E2197" s="1" t="s">
        <v>8107</v>
      </c>
      <c r="F2197" s="1" t="s">
        <v>8102</v>
      </c>
      <c r="G2197" s="1">
        <v>470002</v>
      </c>
      <c r="H2197" s="1">
        <v>37.5</v>
      </c>
    </row>
    <row r="2198" spans="1:8" ht="21.75" customHeight="1">
      <c r="A2198" s="1" t="str">
        <f>"1204720010134523"</f>
        <v>1204720010134523</v>
      </c>
      <c r="B2198" s="1" t="s">
        <v>8108</v>
      </c>
      <c r="C2198" s="1" t="s">
        <v>8109</v>
      </c>
      <c r="D2198" s="1" t="s">
        <v>8110</v>
      </c>
      <c r="E2198" s="1" t="s">
        <v>8111</v>
      </c>
      <c r="F2198" s="1" t="s">
        <v>127</v>
      </c>
      <c r="G2198" s="1">
        <v>471606</v>
      </c>
      <c r="H2198" s="1">
        <v>37.5</v>
      </c>
    </row>
    <row r="2199" spans="1:8" ht="21.75" customHeight="1">
      <c r="A2199" s="1" t="str">
        <f>"1601010000131807"</f>
        <v>1601010000131807</v>
      </c>
      <c r="B2199" s="1" t="s">
        <v>8112</v>
      </c>
      <c r="C2199" s="1" t="s">
        <v>8113</v>
      </c>
      <c r="D2199" s="1"/>
      <c r="E2199" s="1" t="s">
        <v>8114</v>
      </c>
      <c r="F2199" s="1" t="s">
        <v>3248</v>
      </c>
      <c r="G2199" s="1">
        <v>473111</v>
      </c>
      <c r="H2199" s="1">
        <v>101.25</v>
      </c>
    </row>
    <row r="2200" spans="1:8" ht="21.75" customHeight="1">
      <c r="A2200" s="1" t="str">
        <f>"1201770100742670"</f>
        <v>1201770100742670</v>
      </c>
      <c r="B2200" s="1" t="s">
        <v>8115</v>
      </c>
      <c r="C2200" s="1" t="s">
        <v>8116</v>
      </c>
      <c r="D2200" s="1" t="s">
        <v>8117</v>
      </c>
      <c r="E2200" s="1" t="s">
        <v>8118</v>
      </c>
      <c r="F2200" s="1" t="s">
        <v>728</v>
      </c>
      <c r="G2200" s="1">
        <v>474001</v>
      </c>
      <c r="H2200" s="1">
        <v>37.5</v>
      </c>
    </row>
    <row r="2201" spans="1:8" ht="21.75" customHeight="1">
      <c r="A2201" s="1" t="str">
        <f>"IN30198310123108"</f>
        <v>IN30198310123108</v>
      </c>
      <c r="B2201" s="1" t="s">
        <v>8119</v>
      </c>
      <c r="C2201" s="1" t="s">
        <v>8120</v>
      </c>
      <c r="D2201" s="1" t="s">
        <v>8121</v>
      </c>
      <c r="E2201" s="1" t="s">
        <v>8122</v>
      </c>
      <c r="F2201" s="1"/>
      <c r="G2201" s="1">
        <v>474002</v>
      </c>
      <c r="H2201" s="1">
        <v>300</v>
      </c>
    </row>
    <row r="2202" spans="1:8" ht="21.75" customHeight="1">
      <c r="A2202" s="1" t="str">
        <f>"1201060002658852"</f>
        <v>1201060002658852</v>
      </c>
      <c r="B2202" s="1" t="s">
        <v>8124</v>
      </c>
      <c r="C2202" s="1" t="s">
        <v>8125</v>
      </c>
      <c r="D2202" s="1" t="s">
        <v>8126</v>
      </c>
      <c r="E2202" s="1" t="s">
        <v>8123</v>
      </c>
      <c r="F2202" s="1" t="s">
        <v>8123</v>
      </c>
      <c r="G2202" s="1">
        <v>481001</v>
      </c>
      <c r="H2202" s="1">
        <v>37.5</v>
      </c>
    </row>
    <row r="2203" spans="1:8" ht="21.75" customHeight="1">
      <c r="A2203" s="1" t="str">
        <f>"IN30045013359679"</f>
        <v>IN30045013359679</v>
      </c>
      <c r="B2203" s="1" t="s">
        <v>8127</v>
      </c>
      <c r="C2203" s="1" t="s">
        <v>8128</v>
      </c>
      <c r="D2203" s="1" t="s">
        <v>8129</v>
      </c>
      <c r="E2203" s="1" t="s">
        <v>8130</v>
      </c>
      <c r="F2203" s="1"/>
      <c r="G2203" s="1">
        <v>482001</v>
      </c>
      <c r="H2203" s="1">
        <v>150</v>
      </c>
    </row>
    <row r="2204" spans="1:8" ht="21.75" customHeight="1">
      <c r="A2204" s="1" t="str">
        <f>"1203500000220058"</f>
        <v>1203500000220058</v>
      </c>
      <c r="B2204" s="1" t="s">
        <v>8131</v>
      </c>
      <c r="C2204" s="1" t="s">
        <v>8132</v>
      </c>
      <c r="D2204" s="1" t="s">
        <v>8133</v>
      </c>
      <c r="E2204" s="1" t="s">
        <v>8134</v>
      </c>
      <c r="F2204" s="1" t="s">
        <v>1649</v>
      </c>
      <c r="G2204" s="1">
        <v>482002</v>
      </c>
      <c r="H2204" s="1">
        <v>145.5</v>
      </c>
    </row>
    <row r="2205" spans="1:8" ht="21.75" customHeight="1">
      <c r="A2205" s="1" t="str">
        <f>"1208870017070220"</f>
        <v>1208870017070220</v>
      </c>
      <c r="B2205" s="1" t="s">
        <v>8135</v>
      </c>
      <c r="C2205" s="1" t="s">
        <v>8136</v>
      </c>
      <c r="D2205" s="1" t="s">
        <v>8137</v>
      </c>
      <c r="E2205" s="1" t="s">
        <v>410</v>
      </c>
      <c r="F2205" s="1" t="s">
        <v>893</v>
      </c>
      <c r="G2205" s="1">
        <v>485005</v>
      </c>
      <c r="H2205" s="1">
        <v>75</v>
      </c>
    </row>
    <row r="2206" spans="1:8" ht="21.75" customHeight="1">
      <c r="A2206" s="1" t="str">
        <f>"1204720009815959"</f>
        <v>1204720009815959</v>
      </c>
      <c r="B2206" s="1" t="s">
        <v>8138</v>
      </c>
      <c r="C2206" s="1" t="s">
        <v>8139</v>
      </c>
      <c r="D2206" s="1" t="s">
        <v>8140</v>
      </c>
      <c r="E2206" s="1" t="s">
        <v>8141</v>
      </c>
      <c r="F2206" s="1" t="s">
        <v>3309</v>
      </c>
      <c r="G2206" s="1">
        <v>485771</v>
      </c>
      <c r="H2206" s="1">
        <v>41.25</v>
      </c>
    </row>
    <row r="2207" spans="1:8" ht="21.75" customHeight="1">
      <c r="A2207" s="1" t="str">
        <f>"IN30112716250304"</f>
        <v>IN30112716250304</v>
      </c>
      <c r="B2207" s="1" t="s">
        <v>8142</v>
      </c>
      <c r="C2207" s="1" t="s">
        <v>8143</v>
      </c>
      <c r="D2207" s="1" t="s">
        <v>8144</v>
      </c>
      <c r="E2207" s="1" t="s">
        <v>8145</v>
      </c>
      <c r="F2207" s="1"/>
      <c r="G2207" s="1">
        <v>486001</v>
      </c>
      <c r="H2207" s="1">
        <v>675</v>
      </c>
    </row>
    <row r="2208" spans="1:8" ht="21.75" customHeight="1">
      <c r="A2208" s="1" t="str">
        <f>"1204720011136321"</f>
        <v>1204720011136321</v>
      </c>
      <c r="B2208" s="1" t="s">
        <v>8146</v>
      </c>
      <c r="C2208" s="1" t="s">
        <v>8147</v>
      </c>
      <c r="D2208" s="1" t="s">
        <v>8148</v>
      </c>
      <c r="E2208" s="1" t="s">
        <v>8149</v>
      </c>
      <c r="F2208" s="1" t="s">
        <v>270</v>
      </c>
      <c r="G2208" s="1">
        <v>486001</v>
      </c>
      <c r="H2208" s="1">
        <v>7.5</v>
      </c>
    </row>
    <row r="2209" spans="1:8" ht="21.75" customHeight="1">
      <c r="A2209" s="1" t="str">
        <f>"1304140000159506"</f>
        <v>1304140000159506</v>
      </c>
      <c r="B2209" s="1" t="s">
        <v>8150</v>
      </c>
      <c r="C2209" s="1" t="s">
        <v>8151</v>
      </c>
      <c r="D2209" s="1" t="s">
        <v>8152</v>
      </c>
      <c r="E2209" s="1" t="s">
        <v>8153</v>
      </c>
      <c r="F2209" s="1" t="s">
        <v>8153</v>
      </c>
      <c r="G2209" s="1">
        <v>486884</v>
      </c>
      <c r="H2209" s="1">
        <v>0.75</v>
      </c>
    </row>
    <row r="2210" spans="1:8" ht="21.75" customHeight="1">
      <c r="A2210" s="1" t="str">
        <f>"1203840000319594"</f>
        <v>1203840000319594</v>
      </c>
      <c r="B2210" s="1" t="s">
        <v>8154</v>
      </c>
      <c r="C2210" s="1" t="s">
        <v>8155</v>
      </c>
      <c r="D2210" s="1" t="s">
        <v>8156</v>
      </c>
      <c r="E2210" s="1" t="s">
        <v>8157</v>
      </c>
      <c r="F2210" s="1" t="s">
        <v>280</v>
      </c>
      <c r="G2210" s="1">
        <v>490006</v>
      </c>
      <c r="H2210" s="1">
        <v>75</v>
      </c>
    </row>
    <row r="2211" spans="1:8" ht="21.75" customHeight="1">
      <c r="A2211" s="1" t="str">
        <f>"1201090003218305"</f>
        <v>1201090003218305</v>
      </c>
      <c r="B2211" s="1" t="s">
        <v>8158</v>
      </c>
      <c r="C2211" s="1" t="s">
        <v>8159</v>
      </c>
      <c r="D2211" s="1" t="s">
        <v>8160</v>
      </c>
      <c r="E2211" s="1"/>
      <c r="F2211" s="1" t="s">
        <v>280</v>
      </c>
      <c r="G2211" s="1">
        <v>490006</v>
      </c>
      <c r="H2211" s="1">
        <v>22.5</v>
      </c>
    </row>
    <row r="2212" spans="1:8" ht="21.75" customHeight="1">
      <c r="A2212" s="1" t="str">
        <f>"IN30045011770632"</f>
        <v>IN30045011770632</v>
      </c>
      <c r="B2212" s="1" t="s">
        <v>8161</v>
      </c>
      <c r="C2212" s="1" t="s">
        <v>8162</v>
      </c>
      <c r="D2212" s="1" t="s">
        <v>280</v>
      </c>
      <c r="E2212" s="1" t="s">
        <v>8163</v>
      </c>
      <c r="F2212" s="1"/>
      <c r="G2212" s="1">
        <v>490020</v>
      </c>
      <c r="H2212" s="1">
        <v>75</v>
      </c>
    </row>
    <row r="2213" spans="1:8" ht="21.75" customHeight="1">
      <c r="A2213" s="1" t="str">
        <f>"1304140006770368"</f>
        <v>1304140006770368</v>
      </c>
      <c r="B2213" s="1" t="s">
        <v>8164</v>
      </c>
      <c r="C2213" s="1" t="s">
        <v>8165</v>
      </c>
      <c r="D2213" s="1" t="s">
        <v>8166</v>
      </c>
      <c r="E2213" s="1" t="s">
        <v>8167</v>
      </c>
      <c r="F2213" s="1" t="s">
        <v>275</v>
      </c>
      <c r="G2213" s="1">
        <v>491001</v>
      </c>
      <c r="H2213" s="1">
        <v>18.75</v>
      </c>
    </row>
    <row r="2214" spans="1:8" ht="21.75" customHeight="1">
      <c r="A2214" s="1" t="str">
        <f>"IN30045010980088"</f>
        <v>IN30045010980088</v>
      </c>
      <c r="B2214" s="1" t="s">
        <v>8168</v>
      </c>
      <c r="C2214" s="1" t="s">
        <v>8169</v>
      </c>
      <c r="D2214" s="1" t="s">
        <v>8170</v>
      </c>
      <c r="E2214" s="1"/>
      <c r="F2214" s="1"/>
      <c r="G2214" s="1">
        <v>491001</v>
      </c>
      <c r="H2214" s="1">
        <v>6</v>
      </c>
    </row>
    <row r="2215" spans="1:8" ht="21.75" customHeight="1">
      <c r="A2215" s="1" t="str">
        <f>"1204330000117436"</f>
        <v>1204330000117436</v>
      </c>
      <c r="B2215" s="1" t="s">
        <v>8171</v>
      </c>
      <c r="C2215" s="1" t="s">
        <v>8172</v>
      </c>
      <c r="D2215" s="1" t="s">
        <v>8173</v>
      </c>
      <c r="E2215" s="1"/>
      <c r="F2215" s="1" t="s">
        <v>8174</v>
      </c>
      <c r="G2215" s="1">
        <v>491228</v>
      </c>
      <c r="H2215" s="1">
        <v>62.25</v>
      </c>
    </row>
    <row r="2216" spans="1:8" ht="21.75" customHeight="1">
      <c r="A2216" s="1" t="str">
        <f>"1204720009556511"</f>
        <v>1204720009556511</v>
      </c>
      <c r="B2216" s="1" t="s">
        <v>8176</v>
      </c>
      <c r="C2216" s="1" t="s">
        <v>8177</v>
      </c>
      <c r="D2216" s="1" t="s">
        <v>8178</v>
      </c>
      <c r="E2216" s="1" t="s">
        <v>410</v>
      </c>
      <c r="F2216" s="1" t="s">
        <v>8175</v>
      </c>
      <c r="G2216" s="1">
        <v>491441</v>
      </c>
      <c r="H2216" s="1">
        <v>11.25</v>
      </c>
    </row>
    <row r="2217" spans="1:8" ht="21.75" customHeight="1">
      <c r="A2217" s="1" t="str">
        <f>"IN30045010788905"</f>
        <v>IN30045010788905</v>
      </c>
      <c r="B2217" s="1" t="s">
        <v>8179</v>
      </c>
      <c r="C2217" s="1" t="s">
        <v>8180</v>
      </c>
      <c r="D2217" s="1" t="s">
        <v>8181</v>
      </c>
      <c r="E2217" s="1" t="s">
        <v>8182</v>
      </c>
      <c r="F2217" s="1"/>
      <c r="G2217" s="1">
        <v>492001</v>
      </c>
      <c r="H2217" s="1">
        <v>15</v>
      </c>
    </row>
    <row r="2218" spans="1:8" ht="21.75" customHeight="1">
      <c r="A2218" s="1" t="str">
        <f>"1204720010795654"</f>
        <v>1204720010795654</v>
      </c>
      <c r="B2218" s="1" t="s">
        <v>8183</v>
      </c>
      <c r="C2218" s="1" t="s">
        <v>8184</v>
      </c>
      <c r="D2218" s="1" t="s">
        <v>8185</v>
      </c>
      <c r="E2218" s="1" t="s">
        <v>683</v>
      </c>
      <c r="F2218" s="1" t="s">
        <v>683</v>
      </c>
      <c r="G2218" s="1">
        <v>492001</v>
      </c>
      <c r="H2218" s="1">
        <v>15</v>
      </c>
    </row>
    <row r="2219" spans="1:8" ht="21.75" customHeight="1">
      <c r="A2219" s="1" t="str">
        <f>"1204720003087530"</f>
        <v>1204720003087530</v>
      </c>
      <c r="B2219" s="1" t="s">
        <v>8186</v>
      </c>
      <c r="C2219" s="1" t="s">
        <v>8187</v>
      </c>
      <c r="D2219" s="1"/>
      <c r="E2219" s="1"/>
      <c r="F2219" s="1" t="s">
        <v>683</v>
      </c>
      <c r="G2219" s="1">
        <v>492001</v>
      </c>
      <c r="H2219" s="1">
        <v>75</v>
      </c>
    </row>
    <row r="2220" spans="1:8" ht="21.75" customHeight="1">
      <c r="A2220" s="1" t="str">
        <f>"1203160000139495"</f>
        <v>1203160000139495</v>
      </c>
      <c r="B2220" s="1" t="s">
        <v>8188</v>
      </c>
      <c r="C2220" s="1" t="s">
        <v>8189</v>
      </c>
      <c r="D2220" s="1" t="s">
        <v>8190</v>
      </c>
      <c r="E2220" s="1" t="s">
        <v>8191</v>
      </c>
      <c r="F2220" s="1" t="s">
        <v>683</v>
      </c>
      <c r="G2220" s="1">
        <v>492007</v>
      </c>
      <c r="H2220" s="1">
        <v>75</v>
      </c>
    </row>
    <row r="2221" spans="1:8" ht="21.75" customHeight="1">
      <c r="A2221" s="1" t="str">
        <f>"1203600001419451"</f>
        <v>1203600001419451</v>
      </c>
      <c r="B2221" s="1" t="s">
        <v>8192</v>
      </c>
      <c r="C2221" s="1" t="s">
        <v>6830</v>
      </c>
      <c r="D2221" s="1" t="s">
        <v>8193</v>
      </c>
      <c r="E2221" s="1"/>
      <c r="F2221" s="1" t="s">
        <v>683</v>
      </c>
      <c r="G2221" s="1">
        <v>493332</v>
      </c>
      <c r="H2221" s="1">
        <v>11.25</v>
      </c>
    </row>
    <row r="2222" spans="1:8" ht="21.75" customHeight="1">
      <c r="A2222" s="1" t="str">
        <f>"IN30311610534205"</f>
        <v>IN30311610534205</v>
      </c>
      <c r="B2222" s="1" t="s">
        <v>8194</v>
      </c>
      <c r="C2222" s="1" t="s">
        <v>8195</v>
      </c>
      <c r="D2222" s="1" t="s">
        <v>8196</v>
      </c>
      <c r="E2222" s="1" t="s">
        <v>8197</v>
      </c>
      <c r="F2222" s="1"/>
      <c r="G2222" s="1">
        <v>493881</v>
      </c>
      <c r="H2222" s="1">
        <v>60</v>
      </c>
    </row>
    <row r="2223" spans="1:8" ht="21.75" customHeight="1">
      <c r="A2223" s="1" t="str">
        <f>"1203320006393472"</f>
        <v>1203320006393472</v>
      </c>
      <c r="B2223" s="1" t="s">
        <v>8198</v>
      </c>
      <c r="C2223" s="1" t="s">
        <v>8199</v>
      </c>
      <c r="D2223" s="1" t="s">
        <v>8200</v>
      </c>
      <c r="E2223" s="1" t="s">
        <v>8201</v>
      </c>
      <c r="F2223" s="1" t="s">
        <v>8202</v>
      </c>
      <c r="G2223" s="1">
        <v>494001</v>
      </c>
      <c r="H2223" s="1">
        <v>0.75</v>
      </c>
    </row>
    <row r="2224" spans="1:8" ht="21.75" customHeight="1">
      <c r="A2224" s="1" t="str">
        <f>"IN30226913308895"</f>
        <v>IN30226913308895</v>
      </c>
      <c r="B2224" s="1" t="s">
        <v>8203</v>
      </c>
      <c r="C2224" s="1" t="s">
        <v>8204</v>
      </c>
      <c r="D2224" s="1" t="s">
        <v>5840</v>
      </c>
      <c r="E2224" s="1" t="s">
        <v>8205</v>
      </c>
      <c r="F2224" s="1"/>
      <c r="G2224" s="1">
        <v>495001</v>
      </c>
      <c r="H2224" s="1">
        <v>15.75</v>
      </c>
    </row>
    <row r="2225" spans="1:8" ht="21.75" customHeight="1">
      <c r="A2225" s="1" t="str">
        <f>"IN30051318617218"</f>
        <v>IN30051318617218</v>
      </c>
      <c r="B2225" s="1" t="s">
        <v>8206</v>
      </c>
      <c r="C2225" s="1" t="s">
        <v>1281</v>
      </c>
      <c r="D2225" s="1" t="s">
        <v>8207</v>
      </c>
      <c r="E2225" s="1" t="s">
        <v>8208</v>
      </c>
      <c r="F2225" s="1"/>
      <c r="G2225" s="1">
        <v>495001</v>
      </c>
      <c r="H2225" s="1">
        <v>5.25</v>
      </c>
    </row>
    <row r="2226" spans="1:8" ht="21.75" customHeight="1">
      <c r="A2226" s="1" t="str">
        <f>"1208160021858883"</f>
        <v>1208160021858883</v>
      </c>
      <c r="B2226" s="1" t="s">
        <v>8209</v>
      </c>
      <c r="C2226" s="1" t="s">
        <v>8210</v>
      </c>
      <c r="D2226" s="1" t="s">
        <v>8211</v>
      </c>
      <c r="E2226" s="1"/>
      <c r="F2226" s="1" t="s">
        <v>3349</v>
      </c>
      <c r="G2226" s="1">
        <v>495001</v>
      </c>
      <c r="H2226" s="1">
        <v>36</v>
      </c>
    </row>
    <row r="2227" spans="1:8" ht="21.75" customHeight="1">
      <c r="A2227" s="1" t="str">
        <f>"IN30169612194012"</f>
        <v>IN30169612194012</v>
      </c>
      <c r="B2227" s="1" t="s">
        <v>8212</v>
      </c>
      <c r="C2227" s="1" t="s">
        <v>8213</v>
      </c>
      <c r="D2227" s="1" t="s">
        <v>8214</v>
      </c>
      <c r="E2227" s="1" t="s">
        <v>8215</v>
      </c>
      <c r="F2227" s="1"/>
      <c r="G2227" s="1">
        <v>495004</v>
      </c>
      <c r="H2227" s="1">
        <v>503.25</v>
      </c>
    </row>
    <row r="2228" spans="1:8" ht="21.75" customHeight="1">
      <c r="A2228" s="1" t="str">
        <f>"1201910100317767"</f>
        <v>1201910100317767</v>
      </c>
      <c r="B2228" s="1" t="s">
        <v>8216</v>
      </c>
      <c r="C2228" s="1" t="s">
        <v>8217</v>
      </c>
      <c r="D2228" s="1" t="s">
        <v>8218</v>
      </c>
      <c r="E2228" s="1"/>
      <c r="F2228" s="1" t="s">
        <v>3353</v>
      </c>
      <c r="G2228" s="1">
        <v>495117</v>
      </c>
      <c r="H2228" s="1">
        <v>225</v>
      </c>
    </row>
    <row r="2229" spans="1:8" ht="21.75" customHeight="1">
      <c r="A2229" s="1" t="str">
        <f>"1204720011120839"</f>
        <v>1204720011120839</v>
      </c>
      <c r="B2229" s="1" t="s">
        <v>8219</v>
      </c>
      <c r="C2229" s="1" t="s">
        <v>8220</v>
      </c>
      <c r="D2229" s="1" t="s">
        <v>8221</v>
      </c>
      <c r="E2229" s="1" t="s">
        <v>410</v>
      </c>
      <c r="F2229" s="1" t="s">
        <v>3353</v>
      </c>
      <c r="G2229" s="1">
        <v>495334</v>
      </c>
      <c r="H2229" s="1">
        <v>18.75</v>
      </c>
    </row>
    <row r="2230" spans="1:8" ht="21.75" customHeight="1">
      <c r="A2230" s="1" t="str">
        <f>"1201910101453785"</f>
        <v>1201910101453785</v>
      </c>
      <c r="B2230" s="1" t="s">
        <v>8222</v>
      </c>
      <c r="C2230" s="1" t="s">
        <v>8223</v>
      </c>
      <c r="D2230" s="1" t="s">
        <v>8224</v>
      </c>
      <c r="E2230" s="1" t="s">
        <v>3353</v>
      </c>
      <c r="F2230" s="1" t="s">
        <v>8225</v>
      </c>
      <c r="G2230" s="1">
        <v>495555</v>
      </c>
      <c r="H2230" s="1">
        <v>3.75</v>
      </c>
    </row>
    <row r="2231" spans="1:8" ht="21.75" customHeight="1">
      <c r="A2231" s="1" t="str">
        <f>"IN30155721556840"</f>
        <v>IN30155721556840</v>
      </c>
      <c r="B2231" s="1" t="s">
        <v>8226</v>
      </c>
      <c r="C2231" s="1" t="s">
        <v>8227</v>
      </c>
      <c r="D2231" s="1" t="s">
        <v>8228</v>
      </c>
      <c r="E2231" s="1" t="s">
        <v>8229</v>
      </c>
      <c r="F2231" s="1"/>
      <c r="G2231" s="1">
        <v>495677</v>
      </c>
      <c r="H2231" s="1">
        <v>37.5</v>
      </c>
    </row>
    <row r="2232" spans="1:8" ht="21.75" customHeight="1">
      <c r="A2232" s="1" t="str">
        <f>"1204720009503032"</f>
        <v>1204720009503032</v>
      </c>
      <c r="B2232" s="1" t="s">
        <v>8230</v>
      </c>
      <c r="C2232" s="1" t="s">
        <v>8231</v>
      </c>
      <c r="D2232" s="1" t="s">
        <v>8232</v>
      </c>
      <c r="E2232" s="1" t="s">
        <v>410</v>
      </c>
      <c r="F2232" s="1" t="s">
        <v>1891</v>
      </c>
      <c r="G2232" s="1">
        <v>496001</v>
      </c>
      <c r="H2232" s="1">
        <v>30</v>
      </c>
    </row>
    <row r="2233" spans="1:8" ht="21.75" customHeight="1">
      <c r="A2233" s="1" t="str">
        <f>"IN30267931817343"</f>
        <v>IN30267931817343</v>
      </c>
      <c r="B2233" s="1" t="s">
        <v>8233</v>
      </c>
      <c r="C2233" s="1" t="s">
        <v>8234</v>
      </c>
      <c r="D2233" s="1" t="s">
        <v>8235</v>
      </c>
      <c r="E2233" s="1" t="s">
        <v>8236</v>
      </c>
      <c r="F2233" s="1"/>
      <c r="G2233" s="1">
        <v>500007</v>
      </c>
      <c r="H2233" s="1">
        <v>37.5</v>
      </c>
    </row>
    <row r="2234" spans="1:8" ht="21.75" customHeight="1">
      <c r="A2234" s="1" t="str">
        <f>"1201090015218083"</f>
        <v>1201090015218083</v>
      </c>
      <c r="B2234" s="1" t="s">
        <v>8237</v>
      </c>
      <c r="C2234" s="1" t="s">
        <v>8238</v>
      </c>
      <c r="D2234" s="1" t="s">
        <v>8239</v>
      </c>
      <c r="E2234" s="1" t="s">
        <v>8240</v>
      </c>
      <c r="F2234" s="1" t="s">
        <v>281</v>
      </c>
      <c r="G2234" s="1">
        <v>500009</v>
      </c>
      <c r="H2234" s="1">
        <v>6</v>
      </c>
    </row>
    <row r="2235" spans="1:8" ht="21.75" customHeight="1">
      <c r="A2235" s="1" t="str">
        <f>"1301440001497183"</f>
        <v>1301440001497183</v>
      </c>
      <c r="B2235" s="1" t="s">
        <v>8241</v>
      </c>
      <c r="C2235" s="1" t="s">
        <v>8242</v>
      </c>
      <c r="D2235" s="1" t="s">
        <v>8243</v>
      </c>
      <c r="E2235" s="1" t="s">
        <v>8244</v>
      </c>
      <c r="F2235" s="1" t="s">
        <v>281</v>
      </c>
      <c r="G2235" s="1">
        <v>500009</v>
      </c>
      <c r="H2235" s="1">
        <v>3.75</v>
      </c>
    </row>
    <row r="2236" spans="1:8" ht="21.75" customHeight="1">
      <c r="A2236" s="1" t="str">
        <f>"IN30007910439892"</f>
        <v>IN30007910439892</v>
      </c>
      <c r="B2236" s="1" t="s">
        <v>8245</v>
      </c>
      <c r="C2236" s="1" t="s">
        <v>8246</v>
      </c>
      <c r="D2236" s="1" t="s">
        <v>1241</v>
      </c>
      <c r="E2236" s="1" t="s">
        <v>8247</v>
      </c>
      <c r="F2236" s="1"/>
      <c r="G2236" s="1">
        <v>500009</v>
      </c>
      <c r="H2236" s="1">
        <v>7.5</v>
      </c>
    </row>
    <row r="2237" spans="1:8" ht="21.75" customHeight="1">
      <c r="A2237" s="1" t="str">
        <f>"IN30102220599949"</f>
        <v>IN30102220599949</v>
      </c>
      <c r="B2237" s="1" t="s">
        <v>8248</v>
      </c>
      <c r="C2237" s="1" t="s">
        <v>8249</v>
      </c>
      <c r="D2237" s="1" t="s">
        <v>8250</v>
      </c>
      <c r="E2237" s="1" t="s">
        <v>8251</v>
      </c>
      <c r="F2237" s="1"/>
      <c r="G2237" s="1">
        <v>500015</v>
      </c>
      <c r="H2237" s="1">
        <v>3.75</v>
      </c>
    </row>
    <row r="2238" spans="1:8" ht="21.75" customHeight="1">
      <c r="A2238" s="1" t="str">
        <f>"1203070000303521"</f>
        <v>1203070000303521</v>
      </c>
      <c r="B2238" s="1" t="s">
        <v>8252</v>
      </c>
      <c r="C2238" s="1" t="s">
        <v>8253</v>
      </c>
      <c r="D2238" s="1" t="s">
        <v>8254</v>
      </c>
      <c r="E2238" s="1" t="s">
        <v>8255</v>
      </c>
      <c r="F2238" s="1" t="s">
        <v>281</v>
      </c>
      <c r="G2238" s="1">
        <v>500016</v>
      </c>
      <c r="H2238" s="1">
        <v>37.5</v>
      </c>
    </row>
    <row r="2239" spans="1:8" ht="21.75" customHeight="1">
      <c r="A2239" s="1" t="str">
        <f>"1204470003363687"</f>
        <v>1204470003363687</v>
      </c>
      <c r="B2239" s="1" t="s">
        <v>8256</v>
      </c>
      <c r="C2239" s="1" t="s">
        <v>8257</v>
      </c>
      <c r="D2239" s="1" t="s">
        <v>8258</v>
      </c>
      <c r="E2239" s="1" t="s">
        <v>8259</v>
      </c>
      <c r="F2239" s="1" t="s">
        <v>285</v>
      </c>
      <c r="G2239" s="1">
        <v>500017</v>
      </c>
      <c r="H2239" s="1">
        <v>3.75</v>
      </c>
    </row>
    <row r="2240" spans="1:8" ht="21.75" customHeight="1">
      <c r="A2240" s="1" t="str">
        <f>"IN30163741023882"</f>
        <v>IN30163741023882</v>
      </c>
      <c r="B2240" s="1" t="s">
        <v>8260</v>
      </c>
      <c r="C2240" s="1" t="s">
        <v>8261</v>
      </c>
      <c r="D2240" s="1" t="s">
        <v>8262</v>
      </c>
      <c r="E2240" s="1" t="s">
        <v>281</v>
      </c>
      <c r="F2240" s="1"/>
      <c r="G2240" s="1">
        <v>500028</v>
      </c>
      <c r="H2240" s="1">
        <v>0.75</v>
      </c>
    </row>
    <row r="2241" spans="1:8" ht="21.75" customHeight="1">
      <c r="A2241" s="1" t="str">
        <f>"IN30611421135578"</f>
        <v>IN30611421135578</v>
      </c>
      <c r="B2241" s="1" t="s">
        <v>8263</v>
      </c>
      <c r="C2241" s="1" t="s">
        <v>8264</v>
      </c>
      <c r="D2241" s="1" t="s">
        <v>8265</v>
      </c>
      <c r="E2241" s="1" t="s">
        <v>8266</v>
      </c>
      <c r="F2241" s="1"/>
      <c r="G2241" s="1">
        <v>500028</v>
      </c>
      <c r="H2241" s="1">
        <v>75</v>
      </c>
    </row>
    <row r="2242" spans="1:8" ht="21.75" customHeight="1">
      <c r="A2242" s="1" t="str">
        <f>"IN30139710002624"</f>
        <v>IN30139710002624</v>
      </c>
      <c r="B2242" s="1" t="s">
        <v>8267</v>
      </c>
      <c r="C2242" s="1" t="s">
        <v>8268</v>
      </c>
      <c r="D2242" s="1" t="s">
        <v>8269</v>
      </c>
      <c r="E2242" s="1" t="s">
        <v>8270</v>
      </c>
      <c r="F2242" s="1"/>
      <c r="G2242" s="1">
        <v>500029</v>
      </c>
      <c r="H2242" s="1">
        <v>225</v>
      </c>
    </row>
    <row r="2243" spans="1:8" ht="21.75" customHeight="1">
      <c r="A2243" s="1" t="str">
        <f>"IN30051312983264"</f>
        <v>IN30051312983264</v>
      </c>
      <c r="B2243" s="1" t="s">
        <v>8271</v>
      </c>
      <c r="C2243" s="1" t="s">
        <v>8272</v>
      </c>
      <c r="D2243" s="1" t="s">
        <v>8273</v>
      </c>
      <c r="E2243" s="1" t="s">
        <v>8274</v>
      </c>
      <c r="F2243" s="1"/>
      <c r="G2243" s="1">
        <v>500036</v>
      </c>
      <c r="H2243" s="1">
        <v>37.5</v>
      </c>
    </row>
    <row r="2244" spans="1:8" ht="21.75" customHeight="1">
      <c r="A2244" s="1" t="str">
        <f>"1201090013989294"</f>
        <v>1201090013989294</v>
      </c>
      <c r="B2244" s="1" t="s">
        <v>8275</v>
      </c>
      <c r="C2244" s="1" t="s">
        <v>8276</v>
      </c>
      <c r="D2244" s="1" t="s">
        <v>8277</v>
      </c>
      <c r="E2244" s="1" t="s">
        <v>8278</v>
      </c>
      <c r="F2244" s="1" t="s">
        <v>281</v>
      </c>
      <c r="G2244" s="1">
        <v>500047</v>
      </c>
      <c r="H2244" s="1">
        <v>306.75</v>
      </c>
    </row>
    <row r="2245" spans="1:8" ht="21.75" customHeight="1">
      <c r="A2245" s="1" t="str">
        <f>"1206690001251411"</f>
        <v>1206690001251411</v>
      </c>
      <c r="B2245" s="1" t="s">
        <v>8279</v>
      </c>
      <c r="C2245" s="1" t="s">
        <v>8280</v>
      </c>
      <c r="D2245" s="1" t="s">
        <v>8281</v>
      </c>
      <c r="E2245" s="1" t="s">
        <v>8282</v>
      </c>
      <c r="F2245" s="1" t="s">
        <v>281</v>
      </c>
      <c r="G2245" s="1">
        <v>500048</v>
      </c>
      <c r="H2245" s="1">
        <v>0.75</v>
      </c>
    </row>
    <row r="2246" spans="1:8" ht="21.75" customHeight="1">
      <c r="A2246" s="1" t="str">
        <f>"IN30051313208906"</f>
        <v>IN30051313208906</v>
      </c>
      <c r="B2246" s="1" t="s">
        <v>8283</v>
      </c>
      <c r="C2246" s="1" t="s">
        <v>8284</v>
      </c>
      <c r="D2246" s="1" t="s">
        <v>8285</v>
      </c>
      <c r="E2246" s="1" t="s">
        <v>8274</v>
      </c>
      <c r="F2246" s="1"/>
      <c r="G2246" s="1">
        <v>500059</v>
      </c>
      <c r="H2246" s="1">
        <v>0.75</v>
      </c>
    </row>
    <row r="2247" spans="1:8" ht="21.75" customHeight="1">
      <c r="A2247" s="1" t="str">
        <f>"IN30226910846611"</f>
        <v>IN30226910846611</v>
      </c>
      <c r="B2247" s="1" t="s">
        <v>8286</v>
      </c>
      <c r="C2247" s="1" t="s">
        <v>8287</v>
      </c>
      <c r="D2247" s="1" t="s">
        <v>8288</v>
      </c>
      <c r="E2247" s="1" t="s">
        <v>8289</v>
      </c>
      <c r="F2247" s="1"/>
      <c r="G2247" s="1">
        <v>500062</v>
      </c>
      <c r="H2247" s="1">
        <v>213.75</v>
      </c>
    </row>
    <row r="2248" spans="1:8" ht="21.75" customHeight="1">
      <c r="A2248" s="1" t="str">
        <f>"IN30021426770359"</f>
        <v>IN30021426770359</v>
      </c>
      <c r="B2248" s="1" t="s">
        <v>8290</v>
      </c>
      <c r="C2248" s="1" t="s">
        <v>8291</v>
      </c>
      <c r="D2248" s="1" t="s">
        <v>8292</v>
      </c>
      <c r="E2248" s="1" t="s">
        <v>8293</v>
      </c>
      <c r="F2248" s="1"/>
      <c r="G2248" s="1">
        <v>500085</v>
      </c>
      <c r="H2248" s="1">
        <v>75</v>
      </c>
    </row>
    <row r="2249" spans="1:8" ht="21.75" customHeight="1">
      <c r="A2249" s="1" t="str">
        <f>"1208870022352446"</f>
        <v>1208870022352446</v>
      </c>
      <c r="B2249" s="1" t="s">
        <v>8294</v>
      </c>
      <c r="C2249" s="1" t="s">
        <v>8295</v>
      </c>
      <c r="D2249" s="1" t="s">
        <v>8296</v>
      </c>
      <c r="E2249" s="1" t="s">
        <v>410</v>
      </c>
      <c r="F2249" s="1" t="s">
        <v>281</v>
      </c>
      <c r="G2249" s="1">
        <v>501504</v>
      </c>
      <c r="H2249" s="1">
        <v>81</v>
      </c>
    </row>
    <row r="2250" spans="1:8" ht="21.75" customHeight="1">
      <c r="A2250" s="1" t="str">
        <f>"1204470001513499"</f>
        <v>1204470001513499</v>
      </c>
      <c r="B2250" s="1" t="s">
        <v>8297</v>
      </c>
      <c r="C2250" s="1" t="s">
        <v>8298</v>
      </c>
      <c r="D2250" s="1" t="s">
        <v>8299</v>
      </c>
      <c r="E2250" s="1" t="s">
        <v>8299</v>
      </c>
      <c r="F2250" s="1" t="s">
        <v>302</v>
      </c>
      <c r="G2250" s="1">
        <v>503001</v>
      </c>
      <c r="H2250" s="1">
        <v>12.75</v>
      </c>
    </row>
    <row r="2251" spans="1:8" ht="21.75" customHeight="1">
      <c r="A2251" s="1" t="str">
        <f>"1208870023242527"</f>
        <v>1208870023242527</v>
      </c>
      <c r="B2251" s="1" t="s">
        <v>8300</v>
      </c>
      <c r="C2251" s="1" t="s">
        <v>8301</v>
      </c>
      <c r="D2251" s="1" t="s">
        <v>8302</v>
      </c>
      <c r="E2251" s="1" t="s">
        <v>410</v>
      </c>
      <c r="F2251" s="1" t="s">
        <v>302</v>
      </c>
      <c r="G2251" s="1">
        <v>503224</v>
      </c>
      <c r="H2251" s="1">
        <v>1.5</v>
      </c>
    </row>
    <row r="2252" spans="1:8" ht="21.75" customHeight="1">
      <c r="A2252" s="1" t="str">
        <f>"1301440001480781"</f>
        <v>1301440001480781</v>
      </c>
      <c r="B2252" s="1" t="s">
        <v>8303</v>
      </c>
      <c r="C2252" s="1" t="s">
        <v>8304</v>
      </c>
      <c r="D2252" s="1" t="s">
        <v>8305</v>
      </c>
      <c r="E2252" s="1" t="s">
        <v>8306</v>
      </c>
      <c r="F2252" s="1" t="s">
        <v>302</v>
      </c>
      <c r="G2252" s="1">
        <v>503309</v>
      </c>
      <c r="H2252" s="1">
        <v>37.5</v>
      </c>
    </row>
    <row r="2253" spans="1:8" ht="21.75" customHeight="1">
      <c r="A2253" s="1" t="str">
        <f>"IN30311610646212"</f>
        <v>IN30311610646212</v>
      </c>
      <c r="B2253" s="1" t="s">
        <v>8307</v>
      </c>
      <c r="C2253" s="1" t="s">
        <v>8308</v>
      </c>
      <c r="D2253" s="1" t="s">
        <v>8309</v>
      </c>
      <c r="E2253" s="1" t="s">
        <v>8310</v>
      </c>
      <c r="F2253" s="1"/>
      <c r="G2253" s="1">
        <v>504001</v>
      </c>
      <c r="H2253" s="1">
        <v>19.5</v>
      </c>
    </row>
    <row r="2254" spans="1:8" ht="21.75" customHeight="1">
      <c r="A2254" s="1" t="str">
        <f>"1201330000039303"</f>
        <v>1201330000039303</v>
      </c>
      <c r="B2254" s="1" t="s">
        <v>8311</v>
      </c>
      <c r="C2254" s="1" t="s">
        <v>8312</v>
      </c>
      <c r="D2254" s="1" t="s">
        <v>8313</v>
      </c>
      <c r="E2254" s="1" t="s">
        <v>8314</v>
      </c>
      <c r="F2254" s="1" t="s">
        <v>308</v>
      </c>
      <c r="G2254" s="1">
        <v>504251</v>
      </c>
      <c r="H2254" s="1">
        <v>37.5</v>
      </c>
    </row>
    <row r="2255" spans="1:8" ht="21.75" customHeight="1">
      <c r="A2255" s="1" t="str">
        <f>"IN30023914297788"</f>
        <v>IN30023914297788</v>
      </c>
      <c r="B2255" s="1" t="s">
        <v>8315</v>
      </c>
      <c r="C2255" s="1" t="s">
        <v>8316</v>
      </c>
      <c r="D2255" s="1" t="s">
        <v>8317</v>
      </c>
      <c r="E2255" s="1" t="s">
        <v>8318</v>
      </c>
      <c r="F2255" s="1"/>
      <c r="G2255" s="1">
        <v>505301</v>
      </c>
      <c r="H2255" s="1">
        <v>1100.25</v>
      </c>
    </row>
    <row r="2256" spans="1:8" ht="21.75" customHeight="1">
      <c r="A2256" s="1" t="str">
        <f>"IN30220110870548"</f>
        <v>IN30220110870548</v>
      </c>
      <c r="B2256" s="1" t="s">
        <v>8319</v>
      </c>
      <c r="C2256" s="1" t="s">
        <v>8320</v>
      </c>
      <c r="D2256" s="1" t="s">
        <v>8321</v>
      </c>
      <c r="E2256" s="1" t="s">
        <v>8322</v>
      </c>
      <c r="F2256" s="1"/>
      <c r="G2256" s="1">
        <v>505326</v>
      </c>
      <c r="H2256" s="1">
        <v>112.5</v>
      </c>
    </row>
    <row r="2257" spans="1:8" ht="21.75" customHeight="1">
      <c r="A2257" s="1" t="str">
        <f>"1203320002813977"</f>
        <v>1203320002813977</v>
      </c>
      <c r="B2257" s="1" t="s">
        <v>8323</v>
      </c>
      <c r="C2257" s="1" t="s">
        <v>8324</v>
      </c>
      <c r="D2257" s="1" t="s">
        <v>8325</v>
      </c>
      <c r="E2257" s="1" t="s">
        <v>8326</v>
      </c>
      <c r="F2257" s="1" t="s">
        <v>314</v>
      </c>
      <c r="G2257" s="1">
        <v>505327</v>
      </c>
      <c r="H2257" s="1">
        <v>3.75</v>
      </c>
    </row>
    <row r="2258" spans="1:8" ht="21.75" customHeight="1">
      <c r="A2258" s="1" t="str">
        <f>"1201910101061047"</f>
        <v>1201910101061047</v>
      </c>
      <c r="B2258" s="1" t="s">
        <v>8327</v>
      </c>
      <c r="C2258" s="1" t="s">
        <v>8328</v>
      </c>
      <c r="D2258" s="1" t="s">
        <v>8329</v>
      </c>
      <c r="E2258" s="1"/>
      <c r="F2258" s="1" t="s">
        <v>8330</v>
      </c>
      <c r="G2258" s="1">
        <v>505331</v>
      </c>
      <c r="H2258" s="1">
        <v>15</v>
      </c>
    </row>
    <row r="2259" spans="1:8" ht="21.75" customHeight="1">
      <c r="A2259" s="1" t="str">
        <f>"1301440001471270"</f>
        <v>1301440001471270</v>
      </c>
      <c r="B2259" s="1" t="s">
        <v>8331</v>
      </c>
      <c r="C2259" s="1" t="s">
        <v>8332</v>
      </c>
      <c r="D2259" s="1" t="s">
        <v>8333</v>
      </c>
      <c r="E2259" s="1" t="s">
        <v>8334</v>
      </c>
      <c r="F2259" s="1" t="s">
        <v>314</v>
      </c>
      <c r="G2259" s="1">
        <v>505425</v>
      </c>
      <c r="H2259" s="1">
        <v>3</v>
      </c>
    </row>
    <row r="2260" spans="1:8" ht="21.75" customHeight="1">
      <c r="A2260" s="1" t="str">
        <f>"1201910101517502"</f>
        <v>1201910101517502</v>
      </c>
      <c r="B2260" s="1" t="s">
        <v>8335</v>
      </c>
      <c r="C2260" s="1" t="s">
        <v>8336</v>
      </c>
      <c r="D2260" s="1" t="s">
        <v>8337</v>
      </c>
      <c r="E2260" s="1"/>
      <c r="F2260" s="1" t="s">
        <v>8338</v>
      </c>
      <c r="G2260" s="1">
        <v>506252</v>
      </c>
      <c r="H2260" s="1">
        <v>0.75</v>
      </c>
    </row>
    <row r="2261" spans="1:8" ht="21.75" customHeight="1">
      <c r="A2261" s="1" t="str">
        <f>"1204470003345978"</f>
        <v>1204470003345978</v>
      </c>
      <c r="B2261" s="1" t="s">
        <v>8339</v>
      </c>
      <c r="C2261" s="1" t="s">
        <v>8340</v>
      </c>
      <c r="D2261" s="1" t="s">
        <v>8341</v>
      </c>
      <c r="E2261" s="1"/>
      <c r="F2261" s="1" t="s">
        <v>3592</v>
      </c>
      <c r="G2261" s="1">
        <v>506348</v>
      </c>
      <c r="H2261" s="1">
        <v>48.75</v>
      </c>
    </row>
    <row r="2262" spans="1:8" ht="21.75" customHeight="1">
      <c r="A2262" s="1" t="str">
        <f>"IN30023913172464"</f>
        <v>IN30023913172464</v>
      </c>
      <c r="B2262" s="1" t="s">
        <v>8342</v>
      </c>
      <c r="C2262" s="1" t="s">
        <v>8343</v>
      </c>
      <c r="D2262" s="1" t="s">
        <v>8344</v>
      </c>
      <c r="E2262" s="1" t="s">
        <v>8345</v>
      </c>
      <c r="F2262" s="1"/>
      <c r="G2262" s="1">
        <v>506370</v>
      </c>
      <c r="H2262" s="1">
        <v>112.5</v>
      </c>
    </row>
    <row r="2263" spans="1:8" ht="21.75" customHeight="1">
      <c r="A2263" s="1" t="str">
        <f>"IN30177410911158"</f>
        <v>IN30177410911158</v>
      </c>
      <c r="B2263" s="1" t="s">
        <v>8346</v>
      </c>
      <c r="C2263" s="1" t="s">
        <v>8347</v>
      </c>
      <c r="D2263" s="1" t="s">
        <v>8348</v>
      </c>
      <c r="E2263" s="1" t="s">
        <v>3596</v>
      </c>
      <c r="F2263" s="1"/>
      <c r="G2263" s="1">
        <v>507001</v>
      </c>
      <c r="H2263" s="1">
        <v>75</v>
      </c>
    </row>
    <row r="2264" spans="1:8" ht="21.75" customHeight="1">
      <c r="A2264" s="1" t="str">
        <f>"1204470001796935"</f>
        <v>1204470001796935</v>
      </c>
      <c r="B2264" s="1" t="s">
        <v>8349</v>
      </c>
      <c r="C2264" s="1" t="s">
        <v>374</v>
      </c>
      <c r="D2264" s="1" t="s">
        <v>8350</v>
      </c>
      <c r="E2264" s="1" t="s">
        <v>8351</v>
      </c>
      <c r="F2264" s="1" t="s">
        <v>3596</v>
      </c>
      <c r="G2264" s="1">
        <v>507116</v>
      </c>
      <c r="H2264" s="1">
        <v>0.75</v>
      </c>
    </row>
    <row r="2265" spans="1:8" ht="21.75" customHeight="1">
      <c r="A2265" s="1" t="str">
        <f>"1204470002003688"</f>
        <v>1204470002003688</v>
      </c>
      <c r="B2265" s="1" t="s">
        <v>8352</v>
      </c>
      <c r="C2265" s="1" t="s">
        <v>8353</v>
      </c>
      <c r="D2265" s="1" t="s">
        <v>8354</v>
      </c>
      <c r="E2265" s="1" t="s">
        <v>8355</v>
      </c>
      <c r="F2265" s="1" t="s">
        <v>3604</v>
      </c>
      <c r="G2265" s="1">
        <v>508001</v>
      </c>
      <c r="H2265" s="1">
        <v>75</v>
      </c>
    </row>
    <row r="2266" spans="1:8" ht="21.75" customHeight="1">
      <c r="A2266" s="1" t="str">
        <f>"1203320002218781"</f>
        <v>1203320002218781</v>
      </c>
      <c r="B2266" s="1" t="s">
        <v>8356</v>
      </c>
      <c r="C2266" s="1" t="s">
        <v>8357</v>
      </c>
      <c r="D2266" s="1" t="s">
        <v>8358</v>
      </c>
      <c r="E2266" s="1"/>
      <c r="F2266" s="1" t="s">
        <v>8359</v>
      </c>
      <c r="G2266" s="1">
        <v>508207</v>
      </c>
      <c r="H2266" s="1">
        <v>75</v>
      </c>
    </row>
    <row r="2267" spans="1:8" ht="21.75" customHeight="1">
      <c r="A2267" s="1" t="str">
        <f>"1204720000097384"</f>
        <v>1204720000097384</v>
      </c>
      <c r="B2267" s="1" t="s">
        <v>8360</v>
      </c>
      <c r="C2267" s="1" t="s">
        <v>8361</v>
      </c>
      <c r="D2267" s="1"/>
      <c r="E2267" s="1"/>
      <c r="F2267" s="1" t="s">
        <v>8362</v>
      </c>
      <c r="G2267" s="1">
        <v>508213</v>
      </c>
      <c r="H2267" s="1">
        <v>95.25</v>
      </c>
    </row>
    <row r="2268" spans="1:8" ht="21.75" customHeight="1">
      <c r="A2268" s="1" t="str">
        <f>"IN30177414927692"</f>
        <v>IN30177414927692</v>
      </c>
      <c r="B2268" s="1" t="s">
        <v>8363</v>
      </c>
      <c r="C2268" s="1" t="s">
        <v>8364</v>
      </c>
      <c r="D2268" s="1" t="s">
        <v>8365</v>
      </c>
      <c r="E2268" s="1" t="s">
        <v>3631</v>
      </c>
      <c r="F2268" s="1"/>
      <c r="G2268" s="1">
        <v>515001</v>
      </c>
      <c r="H2268" s="1">
        <v>33.75</v>
      </c>
    </row>
    <row r="2269" spans="1:8" ht="21.75" customHeight="1">
      <c r="A2269" s="1" t="str">
        <f>"IN30169612280687"</f>
        <v>IN30169612280687</v>
      </c>
      <c r="B2269" s="1" t="s">
        <v>8366</v>
      </c>
      <c r="C2269" s="1" t="s">
        <v>8367</v>
      </c>
      <c r="D2269" s="1" t="s">
        <v>8368</v>
      </c>
      <c r="E2269" s="1" t="s">
        <v>8369</v>
      </c>
      <c r="F2269" s="1"/>
      <c r="G2269" s="1">
        <v>515301</v>
      </c>
      <c r="H2269" s="1">
        <v>75</v>
      </c>
    </row>
    <row r="2270" spans="1:8" ht="21.75" customHeight="1">
      <c r="A2270" s="1" t="str">
        <f>"1301440001493364"</f>
        <v>1301440001493364</v>
      </c>
      <c r="B2270" s="1" t="s">
        <v>8370</v>
      </c>
      <c r="C2270" s="1" t="s">
        <v>8371</v>
      </c>
      <c r="D2270" s="1" t="s">
        <v>8372</v>
      </c>
      <c r="E2270" s="1"/>
      <c r="F2270" s="1" t="s">
        <v>8373</v>
      </c>
      <c r="G2270" s="1">
        <v>515402</v>
      </c>
      <c r="H2270" s="1">
        <v>15</v>
      </c>
    </row>
    <row r="2271" spans="1:8" ht="21.75" customHeight="1">
      <c r="A2271" s="1" t="str">
        <f>"1203500000784685"</f>
        <v>1203500000784685</v>
      </c>
      <c r="B2271" s="1" t="s">
        <v>8374</v>
      </c>
      <c r="C2271" s="1" t="s">
        <v>8375</v>
      </c>
      <c r="D2271" s="1" t="s">
        <v>8376</v>
      </c>
      <c r="E2271" s="1" t="s">
        <v>8377</v>
      </c>
      <c r="F2271" s="1" t="s">
        <v>8378</v>
      </c>
      <c r="G2271" s="1">
        <v>515671</v>
      </c>
      <c r="H2271" s="1">
        <v>22.5</v>
      </c>
    </row>
    <row r="2272" spans="1:8" ht="21.75" customHeight="1">
      <c r="A2272" s="1" t="str">
        <f>"1203500000343471"</f>
        <v>1203500000343471</v>
      </c>
      <c r="B2272" s="1" t="s">
        <v>8379</v>
      </c>
      <c r="C2272" s="1" t="s">
        <v>8380</v>
      </c>
      <c r="D2272" s="1" t="s">
        <v>8381</v>
      </c>
      <c r="E2272" s="1" t="s">
        <v>3631</v>
      </c>
      <c r="F2272" s="1" t="s">
        <v>8382</v>
      </c>
      <c r="G2272" s="1">
        <v>515671</v>
      </c>
      <c r="H2272" s="1">
        <v>150</v>
      </c>
    </row>
    <row r="2273" spans="1:8" ht="21.75" customHeight="1">
      <c r="A2273" s="1" t="str">
        <f>"1204450000526669"</f>
        <v>1204450000526669</v>
      </c>
      <c r="B2273" s="1" t="s">
        <v>8383</v>
      </c>
      <c r="C2273" s="1" t="s">
        <v>8384</v>
      </c>
      <c r="D2273" s="1" t="s">
        <v>8385</v>
      </c>
      <c r="E2273" s="1" t="s">
        <v>8386</v>
      </c>
      <c r="F2273" s="1" t="s">
        <v>3631</v>
      </c>
      <c r="G2273" s="1">
        <v>515765</v>
      </c>
      <c r="H2273" s="1">
        <v>1.5</v>
      </c>
    </row>
    <row r="2274" spans="1:8" ht="21.75" customHeight="1">
      <c r="A2274" s="1" t="str">
        <f>"1203500000374276"</f>
        <v>1203500000374276</v>
      </c>
      <c r="B2274" s="1" t="s">
        <v>8387</v>
      </c>
      <c r="C2274" s="1" t="s">
        <v>8388</v>
      </c>
      <c r="D2274" s="1" t="s">
        <v>1758</v>
      </c>
      <c r="E2274" s="1" t="s">
        <v>8389</v>
      </c>
      <c r="F2274" s="1" t="s">
        <v>8390</v>
      </c>
      <c r="G2274" s="1">
        <v>515801</v>
      </c>
      <c r="H2274" s="1">
        <v>90</v>
      </c>
    </row>
    <row r="2275" spans="1:8" ht="21.75" customHeight="1">
      <c r="A2275" s="1" t="str">
        <f>"IN30023913070819"</f>
        <v>IN30023913070819</v>
      </c>
      <c r="B2275" s="1" t="s">
        <v>8391</v>
      </c>
      <c r="C2275" s="1" t="s">
        <v>8392</v>
      </c>
      <c r="D2275" s="1" t="s">
        <v>8393</v>
      </c>
      <c r="E2275" s="1" t="s">
        <v>8394</v>
      </c>
      <c r="F2275" s="1"/>
      <c r="G2275" s="1">
        <v>516001</v>
      </c>
      <c r="H2275" s="1">
        <v>150</v>
      </c>
    </row>
    <row r="2276" spans="1:8" ht="21.75" customHeight="1">
      <c r="A2276" s="1" t="str">
        <f>"1202230000080963"</f>
        <v>1202230000080963</v>
      </c>
      <c r="B2276" s="1" t="s">
        <v>8395</v>
      </c>
      <c r="C2276" s="1" t="s">
        <v>8396</v>
      </c>
      <c r="D2276" s="1" t="s">
        <v>8397</v>
      </c>
      <c r="E2276" s="1"/>
      <c r="F2276" s="1" t="s">
        <v>3650</v>
      </c>
      <c r="G2276" s="1">
        <v>516001</v>
      </c>
      <c r="H2276" s="1">
        <v>75</v>
      </c>
    </row>
    <row r="2277" spans="1:8" ht="21.75" customHeight="1">
      <c r="A2277" s="1" t="str">
        <f>"IN30023914092930"</f>
        <v>IN30023914092930</v>
      </c>
      <c r="B2277" s="1" t="s">
        <v>8398</v>
      </c>
      <c r="C2277" s="1" t="s">
        <v>8399</v>
      </c>
      <c r="D2277" s="1" t="s">
        <v>8400</v>
      </c>
      <c r="E2277" s="1" t="s">
        <v>8401</v>
      </c>
      <c r="F2277" s="1"/>
      <c r="G2277" s="1">
        <v>516002</v>
      </c>
      <c r="H2277" s="1">
        <v>7.5</v>
      </c>
    </row>
    <row r="2278" spans="1:8" ht="21.75" customHeight="1">
      <c r="A2278" s="1" t="str">
        <f>"IN30039417184299"</f>
        <v>IN30039417184299</v>
      </c>
      <c r="B2278" s="1" t="s">
        <v>8402</v>
      </c>
      <c r="C2278" s="1" t="s">
        <v>8403</v>
      </c>
      <c r="D2278" s="1" t="s">
        <v>3745</v>
      </c>
      <c r="E2278" s="1" t="s">
        <v>8404</v>
      </c>
      <c r="F2278" s="1"/>
      <c r="G2278" s="1">
        <v>516115</v>
      </c>
      <c r="H2278" s="1">
        <v>82.5</v>
      </c>
    </row>
    <row r="2279" spans="1:8" ht="21.75" customHeight="1">
      <c r="A2279" s="1" t="str">
        <f>"IN30021415811171"</f>
        <v>IN30021415811171</v>
      </c>
      <c r="B2279" s="1" t="s">
        <v>8405</v>
      </c>
      <c r="C2279" s="1" t="s">
        <v>8406</v>
      </c>
      <c r="D2279" s="1" t="s">
        <v>8407</v>
      </c>
      <c r="E2279" s="1" t="s">
        <v>8408</v>
      </c>
      <c r="F2279" s="1"/>
      <c r="G2279" s="1">
        <v>516115</v>
      </c>
      <c r="H2279" s="1">
        <v>60</v>
      </c>
    </row>
    <row r="2280" spans="1:8" ht="21.75" customHeight="1">
      <c r="A2280" s="1" t="str">
        <f>"1205140000013516"</f>
        <v>1205140000013516</v>
      </c>
      <c r="B2280" s="1" t="s">
        <v>8409</v>
      </c>
      <c r="C2280" s="1" t="s">
        <v>8410</v>
      </c>
      <c r="D2280" s="1" t="s">
        <v>8411</v>
      </c>
      <c r="E2280" s="1" t="s">
        <v>8412</v>
      </c>
      <c r="F2280" s="1" t="s">
        <v>8413</v>
      </c>
      <c r="G2280" s="1">
        <v>516360</v>
      </c>
      <c r="H2280" s="1">
        <v>225</v>
      </c>
    </row>
    <row r="2281" spans="1:8" ht="21.75" customHeight="1">
      <c r="A2281" s="1" t="str">
        <f>"IN30039415895456"</f>
        <v>IN30039415895456</v>
      </c>
      <c r="B2281" s="1" t="s">
        <v>8414</v>
      </c>
      <c r="C2281" s="1" t="s">
        <v>8415</v>
      </c>
      <c r="D2281" s="1" t="s">
        <v>8416</v>
      </c>
      <c r="E2281" s="1" t="s">
        <v>8417</v>
      </c>
      <c r="F2281" s="1"/>
      <c r="G2281" s="1">
        <v>516360</v>
      </c>
      <c r="H2281" s="1">
        <v>26.25</v>
      </c>
    </row>
    <row r="2282" spans="1:8" ht="21.75" customHeight="1">
      <c r="A2282" s="1" t="str">
        <f>"1204470005377154"</f>
        <v>1204470005377154</v>
      </c>
      <c r="B2282" s="1" t="s">
        <v>8418</v>
      </c>
      <c r="C2282" s="1" t="s">
        <v>8419</v>
      </c>
      <c r="D2282" s="1" t="s">
        <v>8420</v>
      </c>
      <c r="E2282" s="1"/>
      <c r="F2282" s="1" t="s">
        <v>8421</v>
      </c>
      <c r="G2282" s="1">
        <v>516434</v>
      </c>
      <c r="H2282" s="1">
        <v>382.5</v>
      </c>
    </row>
    <row r="2283" spans="1:8" ht="21.75" customHeight="1">
      <c r="A2283" s="1" t="str">
        <f>"1208160036575178"</f>
        <v>1208160036575178</v>
      </c>
      <c r="B2283" s="1" t="s">
        <v>8422</v>
      </c>
      <c r="C2283" s="1" t="s">
        <v>8423</v>
      </c>
      <c r="D2283" s="1" t="s">
        <v>8424</v>
      </c>
      <c r="E2283" s="1"/>
      <c r="F2283" s="1" t="s">
        <v>3663</v>
      </c>
      <c r="G2283" s="1">
        <v>517001</v>
      </c>
      <c r="H2283" s="1">
        <v>1.5</v>
      </c>
    </row>
    <row r="2284" spans="1:8" ht="21.75" customHeight="1">
      <c r="A2284" s="1" t="str">
        <f>"1208180025956357"</f>
        <v>1208180025956357</v>
      </c>
      <c r="B2284" s="1" t="s">
        <v>8426</v>
      </c>
      <c r="C2284" s="1" t="s">
        <v>8427</v>
      </c>
      <c r="D2284" s="1" t="s">
        <v>8428</v>
      </c>
      <c r="E2284" s="1" t="s">
        <v>1583</v>
      </c>
      <c r="F2284" s="1" t="s">
        <v>3663</v>
      </c>
      <c r="G2284" s="1">
        <v>517247</v>
      </c>
      <c r="H2284" s="1">
        <v>10.5</v>
      </c>
    </row>
    <row r="2285" spans="1:8" ht="21.75" customHeight="1">
      <c r="A2285" s="1" t="str">
        <f>"IN30226912505315"</f>
        <v>IN30226912505315</v>
      </c>
      <c r="B2285" s="1" t="s">
        <v>8429</v>
      </c>
      <c r="C2285" s="1" t="s">
        <v>8430</v>
      </c>
      <c r="D2285" s="1" t="s">
        <v>8431</v>
      </c>
      <c r="E2285" s="1" t="s">
        <v>3681</v>
      </c>
      <c r="F2285" s="1"/>
      <c r="G2285" s="1">
        <v>517325</v>
      </c>
      <c r="H2285" s="1">
        <v>140.25</v>
      </c>
    </row>
    <row r="2286" spans="1:8" ht="21.75" customHeight="1">
      <c r="A2286" s="1" t="str">
        <f>"IN30169610481948"</f>
        <v>IN30169610481948</v>
      </c>
      <c r="B2286" s="1" t="s">
        <v>8432</v>
      </c>
      <c r="C2286" s="1" t="s">
        <v>8433</v>
      </c>
      <c r="D2286" s="1" t="s">
        <v>8434</v>
      </c>
      <c r="E2286" s="1" t="s">
        <v>8435</v>
      </c>
      <c r="F2286" s="1"/>
      <c r="G2286" s="1">
        <v>517325</v>
      </c>
      <c r="H2286" s="1">
        <v>58.5</v>
      </c>
    </row>
    <row r="2287" spans="1:8" ht="21.75" customHeight="1">
      <c r="A2287" s="1" t="str">
        <f>"1203840001703435"</f>
        <v>1203840001703435</v>
      </c>
      <c r="B2287" s="1" t="s">
        <v>8436</v>
      </c>
      <c r="C2287" s="1" t="s">
        <v>8437</v>
      </c>
      <c r="D2287" s="1" t="s">
        <v>8438</v>
      </c>
      <c r="E2287" s="1" t="s">
        <v>8439</v>
      </c>
      <c r="F2287" s="1" t="s">
        <v>8440</v>
      </c>
      <c r="G2287" s="1">
        <v>517501</v>
      </c>
      <c r="H2287" s="1">
        <v>18</v>
      </c>
    </row>
    <row r="2288" spans="1:8" ht="21.75" customHeight="1">
      <c r="A2288" s="1" t="str">
        <f>"IN30023912919007"</f>
        <v>IN30023912919007</v>
      </c>
      <c r="B2288" s="1" t="s">
        <v>8441</v>
      </c>
      <c r="C2288" s="1" t="s">
        <v>8442</v>
      </c>
      <c r="D2288" s="1" t="s">
        <v>8443</v>
      </c>
      <c r="E2288" s="1" t="s">
        <v>8444</v>
      </c>
      <c r="F2288" s="1"/>
      <c r="G2288" s="1">
        <v>517501</v>
      </c>
      <c r="H2288" s="1">
        <v>262.5</v>
      </c>
    </row>
    <row r="2289" spans="1:8" ht="21.75" customHeight="1">
      <c r="A2289" s="1" t="str">
        <f>"IN30169610432052"</f>
        <v>IN30169610432052</v>
      </c>
      <c r="B2289" s="1" t="s">
        <v>8445</v>
      </c>
      <c r="C2289" s="1" t="s">
        <v>8446</v>
      </c>
      <c r="D2289" s="1" t="s">
        <v>8447</v>
      </c>
      <c r="E2289" s="1" t="s">
        <v>8448</v>
      </c>
      <c r="F2289" s="1"/>
      <c r="G2289" s="1">
        <v>517502</v>
      </c>
      <c r="H2289" s="1">
        <v>450</v>
      </c>
    </row>
    <row r="2290" spans="1:8" ht="21.75" customHeight="1">
      <c r="A2290" s="1" t="str">
        <f>"1203810000030483"</f>
        <v>1203810000030483</v>
      </c>
      <c r="B2290" s="1" t="s">
        <v>8449</v>
      </c>
      <c r="C2290" s="1" t="s">
        <v>8450</v>
      </c>
      <c r="D2290" s="1" t="s">
        <v>8451</v>
      </c>
      <c r="E2290" s="1" t="s">
        <v>3674</v>
      </c>
      <c r="F2290" s="1" t="s">
        <v>3674</v>
      </c>
      <c r="G2290" s="1">
        <v>518001</v>
      </c>
      <c r="H2290" s="1">
        <v>32.25</v>
      </c>
    </row>
    <row r="2291" spans="1:8" ht="21.75" customHeight="1">
      <c r="A2291" s="1" t="str">
        <f>"IN30039416072586"</f>
        <v>IN30039416072586</v>
      </c>
      <c r="B2291" s="1" t="s">
        <v>8452</v>
      </c>
      <c r="C2291" s="1" t="s">
        <v>8453</v>
      </c>
      <c r="D2291" s="1" t="s">
        <v>8454</v>
      </c>
      <c r="E2291" s="1" t="s">
        <v>8455</v>
      </c>
      <c r="F2291" s="1"/>
      <c r="G2291" s="1">
        <v>518002</v>
      </c>
      <c r="H2291" s="1">
        <v>7.5</v>
      </c>
    </row>
    <row r="2292" spans="1:8" ht="21.75" customHeight="1">
      <c r="A2292" s="1" t="str">
        <f>"1201060001541960"</f>
        <v>1201060001541960</v>
      </c>
      <c r="B2292" s="1" t="s">
        <v>8456</v>
      </c>
      <c r="C2292" s="1" t="s">
        <v>8457</v>
      </c>
      <c r="D2292" s="1" t="s">
        <v>8458</v>
      </c>
      <c r="E2292" s="1" t="s">
        <v>8459</v>
      </c>
      <c r="F2292" s="1" t="s">
        <v>3674</v>
      </c>
      <c r="G2292" s="1">
        <v>518003</v>
      </c>
      <c r="H2292" s="1">
        <v>33.75</v>
      </c>
    </row>
    <row r="2293" spans="1:8" ht="21.75" customHeight="1">
      <c r="A2293" s="1" t="str">
        <f>"IN30023913194484"</f>
        <v>IN30023913194484</v>
      </c>
      <c r="B2293" s="1" t="s">
        <v>8460</v>
      </c>
      <c r="C2293" s="1" t="s">
        <v>8461</v>
      </c>
      <c r="D2293" s="1" t="s">
        <v>8462</v>
      </c>
      <c r="E2293" s="1" t="s">
        <v>8463</v>
      </c>
      <c r="F2293" s="1"/>
      <c r="G2293" s="1">
        <v>520001</v>
      </c>
      <c r="H2293" s="1">
        <v>12</v>
      </c>
    </row>
    <row r="2294" spans="1:8" ht="21.75" customHeight="1">
      <c r="A2294" s="1" t="str">
        <f>"1201320000355901"</f>
        <v>1201320000355901</v>
      </c>
      <c r="B2294" s="1" t="s">
        <v>8464</v>
      </c>
      <c r="C2294" s="1" t="s">
        <v>8465</v>
      </c>
      <c r="D2294" s="1" t="s">
        <v>8466</v>
      </c>
      <c r="E2294" s="1" t="s">
        <v>8467</v>
      </c>
      <c r="F2294" s="1" t="s">
        <v>3613</v>
      </c>
      <c r="G2294" s="1">
        <v>520001</v>
      </c>
      <c r="H2294" s="1">
        <v>33.75</v>
      </c>
    </row>
    <row r="2295" spans="1:8" ht="21.75" customHeight="1">
      <c r="A2295" s="1" t="str">
        <f>"1201320000430440"</f>
        <v>1201320000430440</v>
      </c>
      <c r="B2295" s="1" t="s">
        <v>8468</v>
      </c>
      <c r="C2295" s="1" t="s">
        <v>8469</v>
      </c>
      <c r="D2295" s="1" t="s">
        <v>8470</v>
      </c>
      <c r="E2295" s="1"/>
      <c r="F2295" s="1" t="s">
        <v>3613</v>
      </c>
      <c r="G2295" s="1">
        <v>520001</v>
      </c>
      <c r="H2295" s="1">
        <v>75</v>
      </c>
    </row>
    <row r="2296" spans="1:8" ht="21.75" customHeight="1">
      <c r="A2296" s="1" t="str">
        <f>"IN30051311625519"</f>
        <v>IN30051311625519</v>
      </c>
      <c r="B2296" s="1" t="s">
        <v>8471</v>
      </c>
      <c r="C2296" s="1" t="s">
        <v>8472</v>
      </c>
      <c r="D2296" s="1" t="s">
        <v>8473</v>
      </c>
      <c r="E2296" s="1" t="s">
        <v>8474</v>
      </c>
      <c r="F2296" s="1"/>
      <c r="G2296" s="1">
        <v>520003</v>
      </c>
      <c r="H2296" s="1">
        <v>7.5</v>
      </c>
    </row>
    <row r="2297" spans="1:8" ht="21.75" customHeight="1">
      <c r="A2297" s="1" t="str">
        <f>"IN30051313252380"</f>
        <v>IN30051313252380</v>
      </c>
      <c r="B2297" s="1" t="s">
        <v>8475</v>
      </c>
      <c r="C2297" s="1" t="s">
        <v>8476</v>
      </c>
      <c r="D2297" s="1" t="s">
        <v>8477</v>
      </c>
      <c r="E2297" s="1" t="s">
        <v>8474</v>
      </c>
      <c r="F2297" s="1"/>
      <c r="G2297" s="1">
        <v>520008</v>
      </c>
      <c r="H2297" s="1">
        <v>30</v>
      </c>
    </row>
    <row r="2298" spans="1:8" ht="21.75" customHeight="1">
      <c r="A2298" s="1" t="str">
        <f>"IN30037810302956"</f>
        <v>IN30037810302956</v>
      </c>
      <c r="B2298" s="1" t="s">
        <v>8478</v>
      </c>
      <c r="C2298" s="1" t="s">
        <v>8479</v>
      </c>
      <c r="D2298" s="1" t="s">
        <v>8480</v>
      </c>
      <c r="E2298" s="1" t="s">
        <v>8481</v>
      </c>
      <c r="F2298" s="1"/>
      <c r="G2298" s="1">
        <v>520008</v>
      </c>
      <c r="H2298" s="1">
        <v>0.75</v>
      </c>
    </row>
    <row r="2299" spans="1:8" ht="21.75" customHeight="1">
      <c r="A2299" s="1" t="str">
        <f>"IN30177410684351"</f>
        <v>IN30177410684351</v>
      </c>
      <c r="B2299" s="1" t="s">
        <v>8482</v>
      </c>
      <c r="C2299" s="1" t="s">
        <v>8483</v>
      </c>
      <c r="D2299" s="1" t="s">
        <v>8484</v>
      </c>
      <c r="E2299" s="1" t="s">
        <v>3613</v>
      </c>
      <c r="F2299" s="1"/>
      <c r="G2299" s="1">
        <v>520010</v>
      </c>
      <c r="H2299" s="1">
        <v>75</v>
      </c>
    </row>
    <row r="2300" spans="1:8" ht="21.75" customHeight="1">
      <c r="A2300" s="1" t="str">
        <f>"1208870023297577"</f>
        <v>1208870023297577</v>
      </c>
      <c r="B2300" s="1" t="s">
        <v>8485</v>
      </c>
      <c r="C2300" s="1" t="s">
        <v>8486</v>
      </c>
      <c r="D2300" s="1" t="s">
        <v>8487</v>
      </c>
      <c r="E2300" s="1" t="s">
        <v>410</v>
      </c>
      <c r="F2300" s="1" t="s">
        <v>8488</v>
      </c>
      <c r="G2300" s="1">
        <v>521165</v>
      </c>
      <c r="H2300" s="1">
        <v>8.25</v>
      </c>
    </row>
    <row r="2301" spans="1:8" ht="21.75" customHeight="1">
      <c r="A2301" s="1" t="str">
        <f>"1203500000272531"</f>
        <v>1203500000272531</v>
      </c>
      <c r="B2301" s="1" t="s">
        <v>8489</v>
      </c>
      <c r="C2301" s="1" t="s">
        <v>8490</v>
      </c>
      <c r="D2301" s="1" t="s">
        <v>8491</v>
      </c>
      <c r="E2301" s="1" t="s">
        <v>8492</v>
      </c>
      <c r="F2301" s="1" t="s">
        <v>8493</v>
      </c>
      <c r="G2301" s="1">
        <v>521301</v>
      </c>
      <c r="H2301" s="1">
        <v>375</v>
      </c>
    </row>
    <row r="2302" spans="1:8" ht="21.75" customHeight="1">
      <c r="A2302" s="1" t="str">
        <f>"IN30169611040242"</f>
        <v>IN30169611040242</v>
      </c>
      <c r="B2302" s="1" t="s">
        <v>8494</v>
      </c>
      <c r="C2302" s="1" t="s">
        <v>8495</v>
      </c>
      <c r="D2302" s="1" t="s">
        <v>8496</v>
      </c>
      <c r="E2302" s="1" t="s">
        <v>8497</v>
      </c>
      <c r="F2302" s="1"/>
      <c r="G2302" s="1">
        <v>522003</v>
      </c>
      <c r="H2302" s="1">
        <v>18.75</v>
      </c>
    </row>
    <row r="2303" spans="1:8" ht="21.75" customHeight="1">
      <c r="A2303" s="1" t="str">
        <f>"IN30102221416276"</f>
        <v>IN30102221416276</v>
      </c>
      <c r="B2303" s="1" t="s">
        <v>8498</v>
      </c>
      <c r="C2303" s="1" t="s">
        <v>8499</v>
      </c>
      <c r="D2303" s="1" t="s">
        <v>8500</v>
      </c>
      <c r="E2303" s="1" t="s">
        <v>8501</v>
      </c>
      <c r="F2303" s="1"/>
      <c r="G2303" s="1">
        <v>522004</v>
      </c>
      <c r="H2303" s="1">
        <v>4.5</v>
      </c>
    </row>
    <row r="2304" spans="1:8" ht="21.75" customHeight="1">
      <c r="A2304" s="1" t="str">
        <f>"IN30232411002353"</f>
        <v>IN30232411002353</v>
      </c>
      <c r="B2304" s="1" t="s">
        <v>8502</v>
      </c>
      <c r="C2304" s="1" t="s">
        <v>8503</v>
      </c>
      <c r="D2304" s="1" t="s">
        <v>8504</v>
      </c>
      <c r="E2304" s="1" t="s">
        <v>8505</v>
      </c>
      <c r="F2304" s="1"/>
      <c r="G2304" s="1">
        <v>522413</v>
      </c>
      <c r="H2304" s="1">
        <v>75</v>
      </c>
    </row>
    <row r="2305" spans="1:8" ht="21.75" customHeight="1">
      <c r="A2305" s="1" t="str">
        <f>"IN30232410983398"</f>
        <v>IN30232410983398</v>
      </c>
      <c r="B2305" s="1" t="s">
        <v>8506</v>
      </c>
      <c r="C2305" s="1" t="s">
        <v>8507</v>
      </c>
      <c r="D2305" s="1" t="s">
        <v>8508</v>
      </c>
      <c r="E2305" s="1" t="s">
        <v>8509</v>
      </c>
      <c r="F2305" s="1"/>
      <c r="G2305" s="1">
        <v>522415</v>
      </c>
      <c r="H2305" s="1">
        <v>18.75</v>
      </c>
    </row>
    <row r="2306" spans="1:8" ht="21.75" customHeight="1">
      <c r="A2306" s="1" t="str">
        <f>"1202230000034935"</f>
        <v>1202230000034935</v>
      </c>
      <c r="B2306" s="1" t="s">
        <v>8510</v>
      </c>
      <c r="C2306" s="1" t="s">
        <v>8511</v>
      </c>
      <c r="D2306" s="1" t="s">
        <v>8512</v>
      </c>
      <c r="E2306" s="1"/>
      <c r="F2306" s="1" t="s">
        <v>3740</v>
      </c>
      <c r="G2306" s="1">
        <v>523001</v>
      </c>
      <c r="H2306" s="1">
        <v>37.5</v>
      </c>
    </row>
    <row r="2307" spans="1:8" ht="21.75" customHeight="1">
      <c r="A2307" s="1" t="str">
        <f>"IN30021412234311"</f>
        <v>IN30021412234311</v>
      </c>
      <c r="B2307" s="1" t="s">
        <v>8513</v>
      </c>
      <c r="C2307" s="1" t="s">
        <v>8514</v>
      </c>
      <c r="D2307" s="1" t="s">
        <v>8515</v>
      </c>
      <c r="E2307" s="1" t="s">
        <v>8516</v>
      </c>
      <c r="F2307" s="1"/>
      <c r="G2307" s="1">
        <v>523001</v>
      </c>
      <c r="H2307" s="1">
        <v>75</v>
      </c>
    </row>
    <row r="2308" spans="1:8" ht="21.75" customHeight="1">
      <c r="A2308" s="1" t="str">
        <f>"1201090001866694"</f>
        <v>1201090001866694</v>
      </c>
      <c r="B2308" s="1" t="s">
        <v>8517</v>
      </c>
      <c r="C2308" s="1" t="s">
        <v>8518</v>
      </c>
      <c r="D2308" s="1" t="s">
        <v>8519</v>
      </c>
      <c r="E2308" s="1" t="s">
        <v>8520</v>
      </c>
      <c r="F2308" s="1" t="s">
        <v>3740</v>
      </c>
      <c r="G2308" s="1">
        <v>523002</v>
      </c>
      <c r="H2308" s="1">
        <v>7.5</v>
      </c>
    </row>
    <row r="2309" spans="1:8" ht="21.75" customHeight="1">
      <c r="A2309" s="1" t="str">
        <f>"IN30039413575027"</f>
        <v>IN30039413575027</v>
      </c>
      <c r="B2309" s="1" t="s">
        <v>8521</v>
      </c>
      <c r="C2309" s="1" t="s">
        <v>8522</v>
      </c>
      <c r="D2309" s="1" t="s">
        <v>8523</v>
      </c>
      <c r="E2309" s="1" t="s">
        <v>8524</v>
      </c>
      <c r="F2309" s="1"/>
      <c r="G2309" s="1">
        <v>523169</v>
      </c>
      <c r="H2309" s="1">
        <v>75</v>
      </c>
    </row>
    <row r="2310" spans="1:8" ht="21.75" customHeight="1">
      <c r="A2310" s="1" t="str">
        <f>"IN30039413205679"</f>
        <v>IN30039413205679</v>
      </c>
      <c r="B2310" s="1" t="s">
        <v>8525</v>
      </c>
      <c r="C2310" s="1" t="s">
        <v>8526</v>
      </c>
      <c r="D2310" s="1" t="s">
        <v>374</v>
      </c>
      <c r="E2310" s="1" t="s">
        <v>8527</v>
      </c>
      <c r="F2310" s="1"/>
      <c r="G2310" s="1">
        <v>523230</v>
      </c>
      <c r="H2310" s="1">
        <v>300</v>
      </c>
    </row>
    <row r="2311" spans="1:8" ht="21.75" customHeight="1">
      <c r="A2311" s="1" t="str">
        <f>"IN30177414478598"</f>
        <v>IN30177414478598</v>
      </c>
      <c r="B2311" s="1" t="s">
        <v>8528</v>
      </c>
      <c r="C2311" s="1" t="s">
        <v>8529</v>
      </c>
      <c r="D2311" s="1" t="s">
        <v>8530</v>
      </c>
      <c r="E2311" s="1" t="s">
        <v>8531</v>
      </c>
      <c r="F2311" s="1"/>
      <c r="G2311" s="1">
        <v>524001</v>
      </c>
      <c r="H2311" s="1">
        <v>7.5</v>
      </c>
    </row>
    <row r="2312" spans="1:8" ht="21.75" customHeight="1">
      <c r="A2312" s="1" t="str">
        <f>"1202230000015671"</f>
        <v>1202230000015671</v>
      </c>
      <c r="B2312" s="1" t="s">
        <v>8532</v>
      </c>
      <c r="C2312" s="3">
        <v>1913</v>
      </c>
      <c r="D2312" s="1" t="s">
        <v>8533</v>
      </c>
      <c r="E2312" s="1"/>
      <c r="F2312" s="1" t="s">
        <v>3790</v>
      </c>
      <c r="G2312" s="1">
        <v>524002</v>
      </c>
      <c r="H2312" s="1">
        <v>75</v>
      </c>
    </row>
    <row r="2313" spans="1:8" ht="21.75" customHeight="1">
      <c r="A2313" s="1" t="str">
        <f>"IN30232410463696"</f>
        <v>IN30232410463696</v>
      </c>
      <c r="B2313" s="1" t="s">
        <v>8534</v>
      </c>
      <c r="C2313" s="1" t="s">
        <v>8535</v>
      </c>
      <c r="D2313" s="1" t="s">
        <v>8536</v>
      </c>
      <c r="E2313" s="1" t="s">
        <v>8537</v>
      </c>
      <c r="F2313" s="1"/>
      <c r="G2313" s="1">
        <v>524102</v>
      </c>
      <c r="H2313" s="1">
        <v>4.5</v>
      </c>
    </row>
    <row r="2314" spans="1:8" ht="21.75" customHeight="1">
      <c r="A2314" s="1" t="str">
        <f>"1206690001386631"</f>
        <v>1206690001386631</v>
      </c>
      <c r="B2314" s="1" t="s">
        <v>8538</v>
      </c>
      <c r="C2314" s="1" t="s">
        <v>8539</v>
      </c>
      <c r="D2314" s="1" t="s">
        <v>8540</v>
      </c>
      <c r="E2314" s="1" t="s">
        <v>3790</v>
      </c>
      <c r="F2314" s="1" t="s">
        <v>3790</v>
      </c>
      <c r="G2314" s="1">
        <v>524201</v>
      </c>
      <c r="H2314" s="1">
        <v>0.75</v>
      </c>
    </row>
    <row r="2315" spans="1:8" ht="21.75" customHeight="1">
      <c r="A2315" s="1" t="str">
        <f>"IN30177413238924"</f>
        <v>IN30177413238924</v>
      </c>
      <c r="B2315" s="1" t="s">
        <v>8541</v>
      </c>
      <c r="C2315" s="1" t="s">
        <v>8542</v>
      </c>
      <c r="D2315" s="1" t="s">
        <v>877</v>
      </c>
      <c r="E2315" s="1" t="s">
        <v>8543</v>
      </c>
      <c r="F2315" s="1"/>
      <c r="G2315" s="1">
        <v>524345</v>
      </c>
      <c r="H2315" s="1">
        <v>375</v>
      </c>
    </row>
    <row r="2316" spans="1:8" ht="21.75" customHeight="1">
      <c r="A2316" s="1" t="str">
        <f>"IN30021412270070"</f>
        <v>IN30021412270070</v>
      </c>
      <c r="B2316" s="1" t="s">
        <v>8544</v>
      </c>
      <c r="C2316" s="1" t="s">
        <v>8545</v>
      </c>
      <c r="D2316" s="1" t="s">
        <v>8546</v>
      </c>
      <c r="E2316" s="1" t="s">
        <v>8547</v>
      </c>
      <c r="F2316" s="1"/>
      <c r="G2316" s="1">
        <v>530002</v>
      </c>
      <c r="H2316" s="1">
        <v>18.75</v>
      </c>
    </row>
    <row r="2317" spans="1:8" ht="21.75" customHeight="1">
      <c r="A2317" s="1" t="str">
        <f>"1204880000192046"</f>
        <v>1204880000192046</v>
      </c>
      <c r="B2317" s="1" t="s">
        <v>8548</v>
      </c>
      <c r="C2317" s="1" t="s">
        <v>8549</v>
      </c>
      <c r="D2317" s="1" t="s">
        <v>8550</v>
      </c>
      <c r="E2317" s="1" t="s">
        <v>8551</v>
      </c>
      <c r="F2317" s="1" t="s">
        <v>917</v>
      </c>
      <c r="G2317" s="1">
        <v>530013</v>
      </c>
      <c r="H2317" s="1">
        <v>150</v>
      </c>
    </row>
    <row r="2318" spans="1:8" ht="21.75" customHeight="1">
      <c r="A2318" s="1" t="str">
        <f>"IN30232410917930"</f>
        <v>IN30232410917930</v>
      </c>
      <c r="B2318" s="1" t="s">
        <v>8552</v>
      </c>
      <c r="C2318" s="1" t="s">
        <v>8553</v>
      </c>
      <c r="D2318" s="1" t="s">
        <v>8554</v>
      </c>
      <c r="E2318" s="1" t="s">
        <v>8555</v>
      </c>
      <c r="F2318" s="1"/>
      <c r="G2318" s="1">
        <v>531001</v>
      </c>
      <c r="H2318" s="1">
        <v>15</v>
      </c>
    </row>
    <row r="2319" spans="1:8" ht="21.75" customHeight="1">
      <c r="A2319" s="1" t="str">
        <f>"IN30232410819285"</f>
        <v>IN30232410819285</v>
      </c>
      <c r="B2319" s="1" t="s">
        <v>8556</v>
      </c>
      <c r="C2319" s="1" t="s">
        <v>8557</v>
      </c>
      <c r="D2319" s="1" t="s">
        <v>8558</v>
      </c>
      <c r="E2319" s="1" t="s">
        <v>8559</v>
      </c>
      <c r="F2319" s="1"/>
      <c r="G2319" s="1">
        <v>531173</v>
      </c>
      <c r="H2319" s="1">
        <v>424.25</v>
      </c>
    </row>
    <row r="2320" spans="1:8" ht="21.75" customHeight="1">
      <c r="A2320" s="1" t="str">
        <f>"IN30232410019002"</f>
        <v>IN30232410019002</v>
      </c>
      <c r="B2320" s="1" t="s">
        <v>8560</v>
      </c>
      <c r="C2320" s="1" t="s">
        <v>8561</v>
      </c>
      <c r="D2320" s="1" t="s">
        <v>8562</v>
      </c>
      <c r="E2320" s="1" t="s">
        <v>8563</v>
      </c>
      <c r="F2320" s="1"/>
      <c r="G2320" s="1">
        <v>532001</v>
      </c>
      <c r="H2320" s="1">
        <v>7.5</v>
      </c>
    </row>
    <row r="2321" spans="1:8" ht="21.75" customHeight="1">
      <c r="A2321" s="1" t="str">
        <f>"1203500000702311"</f>
        <v>1203500000702311</v>
      </c>
      <c r="B2321" s="1" t="s">
        <v>8564</v>
      </c>
      <c r="C2321" s="3">
        <v>40087</v>
      </c>
      <c r="D2321" s="1" t="s">
        <v>2078</v>
      </c>
      <c r="E2321" s="1" t="s">
        <v>3898</v>
      </c>
      <c r="F2321" s="1" t="s">
        <v>8565</v>
      </c>
      <c r="G2321" s="1">
        <v>533003</v>
      </c>
      <c r="H2321" s="1">
        <v>9</v>
      </c>
    </row>
    <row r="2322" spans="1:8" ht="21.75" customHeight="1">
      <c r="A2322" s="1" t="str">
        <f>"IN30226911525979"</f>
        <v>IN30226911525979</v>
      </c>
      <c r="B2322" s="1" t="s">
        <v>8566</v>
      </c>
      <c r="C2322" s="1" t="s">
        <v>8567</v>
      </c>
      <c r="D2322" s="1" t="s">
        <v>8568</v>
      </c>
      <c r="E2322" s="1" t="s">
        <v>8569</v>
      </c>
      <c r="F2322" s="1"/>
      <c r="G2322" s="1">
        <v>533004</v>
      </c>
      <c r="H2322" s="1">
        <v>6</v>
      </c>
    </row>
    <row r="2323" spans="1:8" ht="21.75" customHeight="1">
      <c r="A2323" s="1" t="str">
        <f>"IN30021412326496"</f>
        <v>IN30021412326496</v>
      </c>
      <c r="B2323" s="1" t="s">
        <v>8570</v>
      </c>
      <c r="C2323" s="1" t="s">
        <v>8571</v>
      </c>
      <c r="D2323" s="1" t="s">
        <v>1231</v>
      </c>
      <c r="E2323" s="1" t="s">
        <v>8572</v>
      </c>
      <c r="F2323" s="1"/>
      <c r="G2323" s="1">
        <v>533004</v>
      </c>
      <c r="H2323" s="1">
        <v>0.75</v>
      </c>
    </row>
    <row r="2324" spans="1:8" ht="21.75" customHeight="1">
      <c r="A2324" s="1" t="str">
        <f>"1202990003118720"</f>
        <v>1202990003118720</v>
      </c>
      <c r="B2324" s="1" t="s">
        <v>8573</v>
      </c>
      <c r="C2324" s="1" t="s">
        <v>8574</v>
      </c>
      <c r="D2324" s="1" t="s">
        <v>8575</v>
      </c>
      <c r="E2324" s="1"/>
      <c r="F2324" s="1" t="s">
        <v>3865</v>
      </c>
      <c r="G2324" s="1">
        <v>533103</v>
      </c>
      <c r="H2324" s="1">
        <v>75</v>
      </c>
    </row>
    <row r="2325" spans="1:8" ht="21.75" customHeight="1">
      <c r="A2325" s="1" t="str">
        <f>"IN30232410736375"</f>
        <v>IN30232410736375</v>
      </c>
      <c r="B2325" s="1" t="s">
        <v>8576</v>
      </c>
      <c r="C2325" s="1" t="s">
        <v>8577</v>
      </c>
      <c r="D2325" s="1"/>
      <c r="E2325" s="1" t="s">
        <v>8578</v>
      </c>
      <c r="F2325" s="1"/>
      <c r="G2325" s="1">
        <v>533239</v>
      </c>
      <c r="H2325" s="1">
        <v>7.5</v>
      </c>
    </row>
    <row r="2326" spans="1:8" ht="21.75" customHeight="1">
      <c r="A2326" s="1" t="str">
        <f>"1204470002897555"</f>
        <v>1204470002897555</v>
      </c>
      <c r="B2326" s="1" t="s">
        <v>8579</v>
      </c>
      <c r="C2326" s="5">
        <v>42767</v>
      </c>
      <c r="D2326" s="1" t="s">
        <v>8580</v>
      </c>
      <c r="E2326" s="1" t="s">
        <v>8581</v>
      </c>
      <c r="F2326" s="1" t="s">
        <v>8580</v>
      </c>
      <c r="G2326" s="1">
        <v>533242</v>
      </c>
      <c r="H2326" s="1">
        <v>42</v>
      </c>
    </row>
    <row r="2327" spans="1:8" ht="21.75" customHeight="1">
      <c r="A2327" s="1" t="str">
        <f>"1202990005043863"</f>
        <v>1202990005043863</v>
      </c>
      <c r="B2327" s="1" t="s">
        <v>8582</v>
      </c>
      <c r="C2327" s="1" t="s">
        <v>8583</v>
      </c>
      <c r="D2327" s="1" t="s">
        <v>8584</v>
      </c>
      <c r="E2327" s="1"/>
      <c r="F2327" s="1" t="s">
        <v>8584</v>
      </c>
      <c r="G2327" s="1">
        <v>533264</v>
      </c>
      <c r="H2327" s="1">
        <v>150</v>
      </c>
    </row>
    <row r="2328" spans="1:8" ht="21.75" customHeight="1">
      <c r="A2328" s="1" t="str">
        <f>"IN30232410178525"</f>
        <v>IN30232410178525</v>
      </c>
      <c r="B2328" s="1" t="s">
        <v>8585</v>
      </c>
      <c r="C2328" s="1" t="s">
        <v>8586</v>
      </c>
      <c r="D2328" s="1" t="s">
        <v>8587</v>
      </c>
      <c r="E2328" s="1" t="s">
        <v>8588</v>
      </c>
      <c r="F2328" s="1"/>
      <c r="G2328" s="1">
        <v>533437</v>
      </c>
      <c r="H2328" s="1">
        <v>7.5</v>
      </c>
    </row>
    <row r="2329" spans="1:8" ht="21.75" customHeight="1">
      <c r="A2329" s="1" t="str">
        <f>"IN30023912357465"</f>
        <v>IN30023912357465</v>
      </c>
      <c r="B2329" s="1" t="s">
        <v>8589</v>
      </c>
      <c r="C2329" s="1" t="s">
        <v>8590</v>
      </c>
      <c r="D2329" s="1" t="s">
        <v>8591</v>
      </c>
      <c r="E2329" s="1" t="s">
        <v>8592</v>
      </c>
      <c r="F2329" s="1"/>
      <c r="G2329" s="1">
        <v>534203</v>
      </c>
      <c r="H2329" s="1">
        <v>75</v>
      </c>
    </row>
    <row r="2330" spans="1:8" ht="21.75" customHeight="1">
      <c r="A2330" s="1" t="str">
        <f>"IN30316510029296"</f>
        <v>IN30316510029296</v>
      </c>
      <c r="B2330" s="1" t="s">
        <v>8593</v>
      </c>
      <c r="C2330" s="1" t="s">
        <v>8594</v>
      </c>
      <c r="D2330" s="1" t="s">
        <v>8595</v>
      </c>
      <c r="E2330" s="1" t="s">
        <v>8596</v>
      </c>
      <c r="F2330" s="1"/>
      <c r="G2330" s="1">
        <v>534260</v>
      </c>
      <c r="H2330" s="1">
        <v>75</v>
      </c>
    </row>
    <row r="2331" spans="1:8" ht="21.75" customHeight="1">
      <c r="A2331" s="1" t="str">
        <f>"IN30177417888880"</f>
        <v>IN30177417888880</v>
      </c>
      <c r="B2331" s="1" t="s">
        <v>8597</v>
      </c>
      <c r="C2331" s="1" t="s">
        <v>8598</v>
      </c>
      <c r="D2331" s="1" t="s">
        <v>8599</v>
      </c>
      <c r="E2331" s="1" t="s">
        <v>8600</v>
      </c>
      <c r="F2331" s="1"/>
      <c r="G2331" s="1">
        <v>560003</v>
      </c>
      <c r="H2331" s="1">
        <v>7.5</v>
      </c>
    </row>
    <row r="2332" spans="1:8" ht="21.75" customHeight="1">
      <c r="A2332" s="1" t="str">
        <f>"IN30323710147690"</f>
        <v>IN30323710147690</v>
      </c>
      <c r="B2332" s="1" t="s">
        <v>8601</v>
      </c>
      <c r="C2332" s="1" t="s">
        <v>8602</v>
      </c>
      <c r="D2332" s="1" t="s">
        <v>8603</v>
      </c>
      <c r="E2332" s="1" t="s">
        <v>8604</v>
      </c>
      <c r="F2332" s="1"/>
      <c r="G2332" s="1">
        <v>560004</v>
      </c>
      <c r="H2332" s="1">
        <v>4.5</v>
      </c>
    </row>
    <row r="2333" spans="1:8" ht="21.75" customHeight="1">
      <c r="A2333" s="1" t="str">
        <f>"IN30189510166379"</f>
        <v>IN30189510166379</v>
      </c>
      <c r="B2333" s="1" t="s">
        <v>8605</v>
      </c>
      <c r="C2333" s="1" t="s">
        <v>8606</v>
      </c>
      <c r="D2333" s="1" t="s">
        <v>8607</v>
      </c>
      <c r="E2333" s="1" t="s">
        <v>8608</v>
      </c>
      <c r="F2333" s="1"/>
      <c r="G2333" s="1">
        <v>560008</v>
      </c>
      <c r="H2333" s="1">
        <v>32.25</v>
      </c>
    </row>
    <row r="2334" spans="1:8" ht="21.75" customHeight="1">
      <c r="A2334" s="1" t="str">
        <f>"IN30051318644575"</f>
        <v>IN30051318644575</v>
      </c>
      <c r="B2334" s="1" t="s">
        <v>8609</v>
      </c>
      <c r="C2334" s="1" t="s">
        <v>8610</v>
      </c>
      <c r="D2334" s="1" t="s">
        <v>8611</v>
      </c>
      <c r="E2334" s="1" t="s">
        <v>8612</v>
      </c>
      <c r="F2334" s="1"/>
      <c r="G2334" s="1">
        <v>560008</v>
      </c>
      <c r="H2334" s="1">
        <v>8.25</v>
      </c>
    </row>
    <row r="2335" spans="1:8" ht="21.75" customHeight="1">
      <c r="A2335" s="1" t="str">
        <f>"1206520000000772"</f>
        <v>1206520000000772</v>
      </c>
      <c r="B2335" s="1" t="s">
        <v>8613</v>
      </c>
      <c r="C2335" s="1" t="s">
        <v>8614</v>
      </c>
      <c r="D2335" s="1" t="s">
        <v>8615</v>
      </c>
      <c r="E2335" s="1"/>
      <c r="F2335" s="1" t="s">
        <v>28</v>
      </c>
      <c r="G2335" s="1">
        <v>560010</v>
      </c>
      <c r="H2335" s="1">
        <v>150</v>
      </c>
    </row>
    <row r="2336" spans="1:8" ht="21.75" customHeight="1">
      <c r="A2336" s="1" t="str">
        <f>"1201060001121205"</f>
        <v>1201060001121205</v>
      </c>
      <c r="B2336" s="1" t="s">
        <v>8616</v>
      </c>
      <c r="C2336" s="1" t="s">
        <v>8617</v>
      </c>
      <c r="D2336" s="1" t="s">
        <v>8618</v>
      </c>
      <c r="E2336" s="1" t="s">
        <v>8619</v>
      </c>
      <c r="F2336" s="1" t="s">
        <v>28</v>
      </c>
      <c r="G2336" s="1">
        <v>560011</v>
      </c>
      <c r="H2336" s="1">
        <v>67</v>
      </c>
    </row>
    <row r="2337" spans="1:8" ht="21.75" customHeight="1">
      <c r="A2337" s="1" t="str">
        <f>"IN30021412092058"</f>
        <v>IN30021412092058</v>
      </c>
      <c r="B2337" s="1" t="s">
        <v>8620</v>
      </c>
      <c r="C2337" s="1" t="s">
        <v>8621</v>
      </c>
      <c r="D2337" s="1" t="s">
        <v>8622</v>
      </c>
      <c r="E2337" s="1" t="s">
        <v>8623</v>
      </c>
      <c r="F2337" s="1"/>
      <c r="G2337" s="1">
        <v>560013</v>
      </c>
      <c r="H2337" s="1">
        <v>120</v>
      </c>
    </row>
    <row r="2338" spans="1:8" ht="21.75" customHeight="1">
      <c r="A2338" s="1" t="str">
        <f>"IN30307710373848"</f>
        <v>IN30307710373848</v>
      </c>
      <c r="B2338" s="1" t="s">
        <v>8624</v>
      </c>
      <c r="C2338" s="1" t="s">
        <v>8625</v>
      </c>
      <c r="D2338" s="1" t="s">
        <v>8626</v>
      </c>
      <c r="E2338" s="1" t="s">
        <v>3999</v>
      </c>
      <c r="F2338" s="1"/>
      <c r="G2338" s="1">
        <v>560017</v>
      </c>
      <c r="H2338" s="1">
        <v>120</v>
      </c>
    </row>
    <row r="2339" spans="1:8" ht="21.75" customHeight="1">
      <c r="A2339" s="1" t="str">
        <f>"1302080000083641"</f>
        <v>1302080000083641</v>
      </c>
      <c r="B2339" s="1" t="s">
        <v>8627</v>
      </c>
      <c r="C2339" s="1" t="s">
        <v>8628</v>
      </c>
      <c r="D2339" s="1" t="s">
        <v>8629</v>
      </c>
      <c r="E2339" s="1"/>
      <c r="F2339" s="1" t="s">
        <v>347</v>
      </c>
      <c r="G2339" s="1">
        <v>560020</v>
      </c>
      <c r="H2339" s="1">
        <v>3</v>
      </c>
    </row>
    <row r="2340" spans="1:8" ht="21.75" customHeight="1">
      <c r="A2340" s="1" t="str">
        <f>"1304140000598765"</f>
        <v>1304140000598765</v>
      </c>
      <c r="B2340" s="1" t="s">
        <v>8630</v>
      </c>
      <c r="C2340" s="1" t="s">
        <v>8631</v>
      </c>
      <c r="D2340" s="1" t="s">
        <v>8632</v>
      </c>
      <c r="E2340" s="1" t="s">
        <v>8633</v>
      </c>
      <c r="F2340" s="1" t="s">
        <v>28</v>
      </c>
      <c r="G2340" s="1">
        <v>560026</v>
      </c>
      <c r="H2340" s="1">
        <v>15</v>
      </c>
    </row>
    <row r="2341" spans="1:8" ht="21.75" customHeight="1">
      <c r="A2341" s="1" t="str">
        <f>"IN30198310705909"</f>
        <v>IN30198310705909</v>
      </c>
      <c r="B2341" s="1" t="s">
        <v>8634</v>
      </c>
      <c r="C2341" s="1" t="s">
        <v>8635</v>
      </c>
      <c r="D2341" s="1" t="s">
        <v>8636</v>
      </c>
      <c r="E2341" s="1" t="s">
        <v>8637</v>
      </c>
      <c r="F2341" s="1"/>
      <c r="G2341" s="1">
        <v>560027</v>
      </c>
      <c r="H2341" s="1">
        <v>7.5</v>
      </c>
    </row>
    <row r="2342" spans="1:8" ht="21.75" customHeight="1">
      <c r="A2342" s="1" t="str">
        <f>"1204470005658556"</f>
        <v>1204470005658556</v>
      </c>
      <c r="B2342" s="1" t="s">
        <v>8638</v>
      </c>
      <c r="C2342" s="1" t="s">
        <v>8639</v>
      </c>
      <c r="D2342" s="1" t="s">
        <v>8640</v>
      </c>
      <c r="E2342" s="1" t="s">
        <v>2039</v>
      </c>
      <c r="F2342" s="1" t="s">
        <v>28</v>
      </c>
      <c r="G2342" s="1">
        <v>560032</v>
      </c>
      <c r="H2342" s="1">
        <v>37.5</v>
      </c>
    </row>
    <row r="2343" spans="1:8" ht="21.75" customHeight="1">
      <c r="A2343" s="1" t="str">
        <f>"1204720009972599"</f>
        <v>1204720009972599</v>
      </c>
      <c r="B2343" s="1" t="s">
        <v>8641</v>
      </c>
      <c r="C2343" s="1" t="s">
        <v>8642</v>
      </c>
      <c r="D2343" s="1" t="s">
        <v>8643</v>
      </c>
      <c r="E2343" s="1" t="s">
        <v>8644</v>
      </c>
      <c r="F2343" s="1" t="s">
        <v>28</v>
      </c>
      <c r="G2343" s="1">
        <v>560032</v>
      </c>
      <c r="H2343" s="1">
        <v>135</v>
      </c>
    </row>
    <row r="2344" spans="1:8" ht="21.75" customHeight="1">
      <c r="A2344" s="1" t="str">
        <f>"IN30021412275858"</f>
        <v>IN30021412275858</v>
      </c>
      <c r="B2344" s="1" t="s">
        <v>8645</v>
      </c>
      <c r="C2344" s="1" t="s">
        <v>8646</v>
      </c>
      <c r="D2344" s="1" t="s">
        <v>8647</v>
      </c>
      <c r="E2344" s="1" t="s">
        <v>8648</v>
      </c>
      <c r="F2344" s="1"/>
      <c r="G2344" s="1">
        <v>560037</v>
      </c>
      <c r="H2344" s="1">
        <v>52.5</v>
      </c>
    </row>
    <row r="2345" spans="1:8" ht="21.75" customHeight="1">
      <c r="A2345" s="1" t="str">
        <f>"IN30051310898974"</f>
        <v>IN30051310898974</v>
      </c>
      <c r="B2345" s="1" t="s">
        <v>8649</v>
      </c>
      <c r="C2345" s="1" t="s">
        <v>8650</v>
      </c>
      <c r="D2345" s="1" t="s">
        <v>8651</v>
      </c>
      <c r="E2345" s="1" t="s">
        <v>8652</v>
      </c>
      <c r="F2345" s="1"/>
      <c r="G2345" s="1">
        <v>560038</v>
      </c>
      <c r="H2345" s="1">
        <v>75</v>
      </c>
    </row>
    <row r="2346" spans="1:8" ht="21.75" customHeight="1">
      <c r="A2346" s="1" t="str">
        <f>"1208160039121217"</f>
        <v>1208160039121217</v>
      </c>
      <c r="B2346" s="1" t="s">
        <v>8653</v>
      </c>
      <c r="C2346" s="1" t="s">
        <v>8654</v>
      </c>
      <c r="D2346" s="1" t="s">
        <v>8655</v>
      </c>
      <c r="E2346" s="1"/>
      <c r="F2346" s="1" t="s">
        <v>347</v>
      </c>
      <c r="G2346" s="1">
        <v>560038</v>
      </c>
      <c r="H2346" s="1">
        <v>225</v>
      </c>
    </row>
    <row r="2347" spans="1:8" ht="21.75" customHeight="1">
      <c r="A2347" s="1" t="str">
        <f>"IN30059710138159"</f>
        <v>IN30059710138159</v>
      </c>
      <c r="B2347" s="1" t="s">
        <v>8656</v>
      </c>
      <c r="C2347" s="1" t="s">
        <v>8657</v>
      </c>
      <c r="D2347" s="1" t="s">
        <v>8658</v>
      </c>
      <c r="E2347" s="1" t="s">
        <v>8659</v>
      </c>
      <c r="F2347" s="1"/>
      <c r="G2347" s="1">
        <v>560038</v>
      </c>
      <c r="H2347" s="1">
        <v>80.25</v>
      </c>
    </row>
    <row r="2348" spans="1:8" ht="21.75" customHeight="1">
      <c r="A2348" s="1" t="str">
        <f>"IN30021426746912"</f>
        <v>IN30021426746912</v>
      </c>
      <c r="B2348" s="1" t="s">
        <v>8660</v>
      </c>
      <c r="C2348" s="1" t="s">
        <v>8661</v>
      </c>
      <c r="D2348" s="1" t="s">
        <v>8662</v>
      </c>
      <c r="E2348" s="1" t="s">
        <v>8663</v>
      </c>
      <c r="F2348" s="1"/>
      <c r="G2348" s="1">
        <v>560040</v>
      </c>
      <c r="H2348" s="1">
        <v>147.75</v>
      </c>
    </row>
    <row r="2349" spans="1:8" ht="21.75" customHeight="1">
      <c r="A2349" s="1" t="str">
        <f>"1201060000985071"</f>
        <v>1201060000985071</v>
      </c>
      <c r="B2349" s="1" t="s">
        <v>8664</v>
      </c>
      <c r="C2349" s="1" t="s">
        <v>8665</v>
      </c>
      <c r="D2349" s="1" t="s">
        <v>8666</v>
      </c>
      <c r="E2349" s="1" t="s">
        <v>8667</v>
      </c>
      <c r="F2349" s="1" t="s">
        <v>3930</v>
      </c>
      <c r="G2349" s="1">
        <v>560047</v>
      </c>
      <c r="H2349" s="1">
        <v>150</v>
      </c>
    </row>
    <row r="2350" spans="1:8" ht="21.75" customHeight="1">
      <c r="A2350" s="1" t="str">
        <f>"IN30226913328093"</f>
        <v>IN30226913328093</v>
      </c>
      <c r="B2350" s="1" t="s">
        <v>8668</v>
      </c>
      <c r="C2350" s="1" t="s">
        <v>8669</v>
      </c>
      <c r="D2350" s="1" t="s">
        <v>8670</v>
      </c>
      <c r="E2350" s="1" t="s">
        <v>8671</v>
      </c>
      <c r="F2350" s="1"/>
      <c r="G2350" s="1">
        <v>560061</v>
      </c>
      <c r="H2350" s="1">
        <v>26.25</v>
      </c>
    </row>
    <row r="2351" spans="1:8" ht="21.75" customHeight="1">
      <c r="A2351" s="1" t="str">
        <f>"1208160068599652"</f>
        <v>1208160068599652</v>
      </c>
      <c r="B2351" s="1" t="s">
        <v>8672</v>
      </c>
      <c r="C2351" s="1" t="s">
        <v>8673</v>
      </c>
      <c r="D2351" s="1" t="s">
        <v>8674</v>
      </c>
      <c r="E2351" s="1"/>
      <c r="F2351" s="1" t="s">
        <v>347</v>
      </c>
      <c r="G2351" s="1">
        <v>560077</v>
      </c>
      <c r="H2351" s="1">
        <v>14.25</v>
      </c>
    </row>
    <row r="2352" spans="1:8" ht="21.75" customHeight="1">
      <c r="A2352" s="1" t="str">
        <f>"1204720011185969"</f>
        <v>1204720011185969</v>
      </c>
      <c r="B2352" s="1" t="s">
        <v>8675</v>
      </c>
      <c r="C2352" s="1" t="s">
        <v>8676</v>
      </c>
      <c r="D2352" s="1" t="s">
        <v>346</v>
      </c>
      <c r="E2352" s="1" t="s">
        <v>410</v>
      </c>
      <c r="F2352" s="1" t="s">
        <v>28</v>
      </c>
      <c r="G2352" s="1">
        <v>560078</v>
      </c>
      <c r="H2352" s="1">
        <v>0.75</v>
      </c>
    </row>
    <row r="2353" spans="1:8" ht="21.75" customHeight="1">
      <c r="A2353" s="1" t="str">
        <f>"IN30135620244152"</f>
        <v>IN30135620244152</v>
      </c>
      <c r="B2353" s="1" t="s">
        <v>8677</v>
      </c>
      <c r="C2353" s="1" t="s">
        <v>8678</v>
      </c>
      <c r="D2353" s="1" t="s">
        <v>8679</v>
      </c>
      <c r="E2353" s="1" t="s">
        <v>8680</v>
      </c>
      <c r="F2353" s="1"/>
      <c r="G2353" s="1">
        <v>560078</v>
      </c>
      <c r="H2353" s="1">
        <v>127.5</v>
      </c>
    </row>
    <row r="2354" spans="1:8" ht="21.75" customHeight="1">
      <c r="A2354" s="1" t="str">
        <f>"IN30214810281858"</f>
        <v>IN30214810281858</v>
      </c>
      <c r="B2354" s="1" t="s">
        <v>8681</v>
      </c>
      <c r="C2354" s="1" t="s">
        <v>8682</v>
      </c>
      <c r="D2354" s="1" t="s">
        <v>8683</v>
      </c>
      <c r="E2354" s="1" t="s">
        <v>8684</v>
      </c>
      <c r="F2354" s="1"/>
      <c r="G2354" s="1">
        <v>560079</v>
      </c>
      <c r="H2354" s="1">
        <v>75</v>
      </c>
    </row>
    <row r="2355" spans="1:8" ht="21.75" customHeight="1">
      <c r="A2355" s="1" t="str">
        <f>"IN30189510258766"</f>
        <v>IN30189510258766</v>
      </c>
      <c r="B2355" s="1" t="s">
        <v>8685</v>
      </c>
      <c r="C2355" s="1" t="s">
        <v>8686</v>
      </c>
      <c r="D2355" s="1" t="s">
        <v>8687</v>
      </c>
      <c r="E2355" s="1" t="s">
        <v>8688</v>
      </c>
      <c r="F2355" s="1"/>
      <c r="G2355" s="1">
        <v>560085</v>
      </c>
      <c r="H2355" s="1">
        <v>3.75</v>
      </c>
    </row>
    <row r="2356" spans="1:8" ht="21.75" customHeight="1">
      <c r="A2356" s="1" t="str">
        <f>"1208160078487163"</f>
        <v>1208160078487163</v>
      </c>
      <c r="B2356" s="1" t="s">
        <v>8690</v>
      </c>
      <c r="C2356" s="1" t="s">
        <v>8691</v>
      </c>
      <c r="D2356" s="1" t="s">
        <v>8692</v>
      </c>
      <c r="E2356" s="1" t="s">
        <v>8693</v>
      </c>
      <c r="F2356" s="1" t="s">
        <v>347</v>
      </c>
      <c r="G2356" s="1">
        <v>560104</v>
      </c>
      <c r="H2356" s="1">
        <v>37.5</v>
      </c>
    </row>
    <row r="2357" spans="1:8" ht="21.75" customHeight="1">
      <c r="A2357" s="1" t="str">
        <f>"1204720010147507"</f>
        <v>1204720010147507</v>
      </c>
      <c r="B2357" s="1" t="s">
        <v>8694</v>
      </c>
      <c r="C2357" s="1" t="s">
        <v>8695</v>
      </c>
      <c r="D2357" s="1" t="s">
        <v>8696</v>
      </c>
      <c r="E2357" s="1" t="s">
        <v>8697</v>
      </c>
      <c r="F2357" s="1" t="s">
        <v>28</v>
      </c>
      <c r="G2357" s="1">
        <v>562110</v>
      </c>
      <c r="H2357" s="1">
        <v>75</v>
      </c>
    </row>
    <row r="2358" spans="1:8" ht="21.75" customHeight="1">
      <c r="A2358" s="1" t="str">
        <f>"1204470005535624"</f>
        <v>1204470005535624</v>
      </c>
      <c r="B2358" s="1" t="s">
        <v>8698</v>
      </c>
      <c r="C2358" s="1" t="s">
        <v>8699</v>
      </c>
      <c r="D2358" s="1" t="s">
        <v>8700</v>
      </c>
      <c r="E2358" s="1"/>
      <c r="F2358" s="1" t="s">
        <v>28</v>
      </c>
      <c r="G2358" s="1">
        <v>562117</v>
      </c>
      <c r="H2358" s="1">
        <v>18.75</v>
      </c>
    </row>
    <row r="2359" spans="1:8" ht="21.75" customHeight="1">
      <c r="A2359" s="1" t="str">
        <f>"1204720010371648"</f>
        <v>1204720010371648</v>
      </c>
      <c r="B2359" s="1" t="s">
        <v>8701</v>
      </c>
      <c r="C2359" s="1" t="s">
        <v>8702</v>
      </c>
      <c r="D2359" s="1" t="s">
        <v>8703</v>
      </c>
      <c r="E2359" s="1" t="s">
        <v>8704</v>
      </c>
      <c r="F2359" s="1" t="s">
        <v>28</v>
      </c>
      <c r="G2359" s="1">
        <v>562123</v>
      </c>
      <c r="H2359" s="1">
        <v>0.75</v>
      </c>
    </row>
    <row r="2360" spans="1:8" ht="21.75" customHeight="1">
      <c r="A2360" s="1" t="str">
        <f>"IN30023912562425"</f>
        <v>IN30023912562425</v>
      </c>
      <c r="B2360" s="1" t="s">
        <v>8705</v>
      </c>
      <c r="C2360" s="1" t="s">
        <v>8706</v>
      </c>
      <c r="D2360" s="1" t="s">
        <v>8707</v>
      </c>
      <c r="E2360" s="1" t="s">
        <v>3999</v>
      </c>
      <c r="F2360" s="1"/>
      <c r="G2360" s="1">
        <v>562149</v>
      </c>
      <c r="H2360" s="1">
        <v>150</v>
      </c>
    </row>
    <row r="2361" spans="1:8" ht="21.75" customHeight="1">
      <c r="A2361" s="1" t="str">
        <f>"1201090002555839"</f>
        <v>1201090002555839</v>
      </c>
      <c r="B2361" s="1" t="s">
        <v>8708</v>
      </c>
      <c r="C2361" s="1" t="s">
        <v>8709</v>
      </c>
      <c r="D2361" s="1" t="s">
        <v>8710</v>
      </c>
      <c r="E2361" s="1" t="s">
        <v>8711</v>
      </c>
      <c r="F2361" s="1" t="s">
        <v>4092</v>
      </c>
      <c r="G2361" s="1">
        <v>563116</v>
      </c>
      <c r="H2361" s="1">
        <v>67</v>
      </c>
    </row>
    <row r="2362" spans="1:8" ht="21.75" customHeight="1">
      <c r="A2362" s="1" t="str">
        <f>"1204470008627378"</f>
        <v>1204470008627378</v>
      </c>
      <c r="B2362" s="1" t="s">
        <v>8712</v>
      </c>
      <c r="C2362" s="1" t="s">
        <v>8713</v>
      </c>
      <c r="D2362" s="1" t="s">
        <v>8714</v>
      </c>
      <c r="E2362" s="1"/>
      <c r="F2362" s="1" t="s">
        <v>4099</v>
      </c>
      <c r="G2362" s="1">
        <v>570002</v>
      </c>
      <c r="H2362" s="1">
        <v>66</v>
      </c>
    </row>
    <row r="2363" spans="1:8" ht="21.75" customHeight="1">
      <c r="A2363" s="1" t="str">
        <f>"IN30051315496292"</f>
        <v>IN30051315496292</v>
      </c>
      <c r="B2363" s="1" t="s">
        <v>8715</v>
      </c>
      <c r="C2363" s="1" t="s">
        <v>8716</v>
      </c>
      <c r="D2363" s="1" t="s">
        <v>8717</v>
      </c>
      <c r="E2363" s="1" t="s">
        <v>8718</v>
      </c>
      <c r="F2363" s="1"/>
      <c r="G2363" s="1">
        <v>570004</v>
      </c>
      <c r="H2363" s="1">
        <v>9</v>
      </c>
    </row>
    <row r="2364" spans="1:8" ht="21.75" customHeight="1">
      <c r="A2364" s="1" t="str">
        <f>"IN30036010194265"</f>
        <v>IN30036010194265</v>
      </c>
      <c r="B2364" s="1" t="s">
        <v>8719</v>
      </c>
      <c r="C2364" s="1" t="s">
        <v>8720</v>
      </c>
      <c r="D2364" s="1" t="s">
        <v>8721</v>
      </c>
      <c r="E2364" s="1" t="s">
        <v>8722</v>
      </c>
      <c r="F2364" s="1"/>
      <c r="G2364" s="1">
        <v>570008</v>
      </c>
      <c r="H2364" s="1">
        <v>8.25</v>
      </c>
    </row>
    <row r="2365" spans="1:8" ht="21.75" customHeight="1">
      <c r="A2365" s="1" t="str">
        <f>"1204720010411686"</f>
        <v>1204720010411686</v>
      </c>
      <c r="B2365" s="1" t="s">
        <v>8723</v>
      </c>
      <c r="C2365" s="1" t="s">
        <v>8724</v>
      </c>
      <c r="D2365" s="1" t="s">
        <v>8425</v>
      </c>
      <c r="E2365" s="1" t="s">
        <v>410</v>
      </c>
      <c r="F2365" s="1" t="s">
        <v>4099</v>
      </c>
      <c r="G2365" s="1">
        <v>570017</v>
      </c>
      <c r="H2365" s="1">
        <v>37.5</v>
      </c>
    </row>
    <row r="2366" spans="1:8" ht="21.75" customHeight="1">
      <c r="A2366" s="1" t="str">
        <f>"1204470006800730"</f>
        <v>1204470006800730</v>
      </c>
      <c r="B2366" s="1" t="s">
        <v>8725</v>
      </c>
      <c r="C2366" s="1" t="s">
        <v>8726</v>
      </c>
      <c r="D2366" s="1" t="s">
        <v>8727</v>
      </c>
      <c r="E2366" s="1"/>
      <c r="F2366" s="1" t="s">
        <v>4116</v>
      </c>
      <c r="G2366" s="1">
        <v>571421</v>
      </c>
      <c r="H2366" s="1">
        <v>3.75</v>
      </c>
    </row>
    <row r="2367" spans="1:8" ht="21.75" customHeight="1">
      <c r="A2367" s="1" t="str">
        <f>"1301440003150214"</f>
        <v>1301440003150214</v>
      </c>
      <c r="B2367" s="1" t="s">
        <v>8728</v>
      </c>
      <c r="C2367" s="1" t="s">
        <v>8729</v>
      </c>
      <c r="D2367" s="1" t="s">
        <v>8730</v>
      </c>
      <c r="E2367" s="1" t="s">
        <v>8731</v>
      </c>
      <c r="F2367" s="1" t="s">
        <v>4115</v>
      </c>
      <c r="G2367" s="1">
        <v>571444</v>
      </c>
      <c r="H2367" s="1">
        <v>4.5</v>
      </c>
    </row>
    <row r="2368" spans="1:8" ht="21.75" customHeight="1">
      <c r="A2368" s="1" t="str">
        <f>"1204720011020614"</f>
        <v>1204720011020614</v>
      </c>
      <c r="B2368" s="1" t="s">
        <v>8732</v>
      </c>
      <c r="C2368" s="1" t="s">
        <v>8733</v>
      </c>
      <c r="D2368" s="1" t="s">
        <v>8734</v>
      </c>
      <c r="E2368" s="1" t="s">
        <v>21</v>
      </c>
      <c r="F2368" s="1" t="s">
        <v>4122</v>
      </c>
      <c r="G2368" s="1">
        <v>572101</v>
      </c>
      <c r="H2368" s="1">
        <v>1.5</v>
      </c>
    </row>
    <row r="2369" spans="1:8" ht="21.75" customHeight="1">
      <c r="A2369" s="1" t="str">
        <f>"IN30226913221136"</f>
        <v>IN30226913221136</v>
      </c>
      <c r="B2369" s="1" t="s">
        <v>8735</v>
      </c>
      <c r="C2369" s="1" t="s">
        <v>8736</v>
      </c>
      <c r="D2369" s="1" t="s">
        <v>8737</v>
      </c>
      <c r="E2369" s="1" t="s">
        <v>8738</v>
      </c>
      <c r="F2369" s="1"/>
      <c r="G2369" s="1">
        <v>572102</v>
      </c>
      <c r="H2369" s="1">
        <v>8.25</v>
      </c>
    </row>
    <row r="2370" spans="1:8" ht="21.75" customHeight="1">
      <c r="A2370" s="1" t="str">
        <f>"1204450000444985"</f>
        <v>1204450000444985</v>
      </c>
      <c r="B2370" s="1" t="s">
        <v>8739</v>
      </c>
      <c r="C2370" s="1" t="s">
        <v>8740</v>
      </c>
      <c r="D2370" s="1" t="s">
        <v>4165</v>
      </c>
      <c r="E2370" s="1" t="s">
        <v>8741</v>
      </c>
      <c r="F2370" s="1" t="s">
        <v>4122</v>
      </c>
      <c r="G2370" s="1">
        <v>572102</v>
      </c>
      <c r="H2370" s="1">
        <v>22.5</v>
      </c>
    </row>
    <row r="2371" spans="1:8" ht="21.75" customHeight="1">
      <c r="A2371" s="1" t="str">
        <f>"1203840001253917"</f>
        <v>1203840001253917</v>
      </c>
      <c r="B2371" s="1" t="s">
        <v>8742</v>
      </c>
      <c r="C2371" s="1" t="s">
        <v>8743</v>
      </c>
      <c r="D2371" s="1" t="s">
        <v>8744</v>
      </c>
      <c r="E2371" s="1" t="s">
        <v>8745</v>
      </c>
      <c r="F2371" s="1" t="s">
        <v>8746</v>
      </c>
      <c r="G2371" s="1">
        <v>572137</v>
      </c>
      <c r="H2371" s="1">
        <v>75</v>
      </c>
    </row>
    <row r="2372" spans="1:8" ht="21.75" customHeight="1">
      <c r="A2372" s="1" t="str">
        <f>"IN30039417382210"</f>
        <v>IN30039417382210</v>
      </c>
      <c r="B2372" s="1" t="s">
        <v>8747</v>
      </c>
      <c r="C2372" s="1" t="s">
        <v>8748</v>
      </c>
      <c r="D2372" s="1" t="s">
        <v>8749</v>
      </c>
      <c r="E2372" s="1" t="s">
        <v>8750</v>
      </c>
      <c r="F2372" s="1"/>
      <c r="G2372" s="1">
        <v>573134</v>
      </c>
      <c r="H2372" s="1">
        <v>0.75</v>
      </c>
    </row>
    <row r="2373" spans="1:8" ht="21.75" customHeight="1">
      <c r="A2373" s="1" t="str">
        <f>"IN30214810845280"</f>
        <v>IN30214810845280</v>
      </c>
      <c r="B2373" s="1" t="s">
        <v>8751</v>
      </c>
      <c r="C2373" s="1" t="s">
        <v>8752</v>
      </c>
      <c r="D2373" s="1" t="s">
        <v>4165</v>
      </c>
      <c r="E2373" s="1" t="s">
        <v>8753</v>
      </c>
      <c r="F2373" s="1"/>
      <c r="G2373" s="1">
        <v>573201</v>
      </c>
      <c r="H2373" s="1">
        <v>3.75</v>
      </c>
    </row>
    <row r="2374" spans="1:8" ht="21.75" customHeight="1">
      <c r="A2374" s="1" t="str">
        <f>"IN30051313169062"</f>
        <v>IN30051313169062</v>
      </c>
      <c r="B2374" s="1" t="s">
        <v>8754</v>
      </c>
      <c r="C2374" s="1" t="s">
        <v>8755</v>
      </c>
      <c r="D2374" s="1" t="s">
        <v>8756</v>
      </c>
      <c r="E2374" s="1" t="s">
        <v>8757</v>
      </c>
      <c r="F2374" s="1"/>
      <c r="G2374" s="1">
        <v>575001</v>
      </c>
      <c r="H2374" s="1">
        <v>7.5</v>
      </c>
    </row>
    <row r="2375" spans="1:8" ht="21.75" customHeight="1">
      <c r="A2375" s="1" t="str">
        <f>"IN30023913257598"</f>
        <v>IN30023913257598</v>
      </c>
      <c r="B2375" s="1" t="s">
        <v>8758</v>
      </c>
      <c r="C2375" s="1" t="s">
        <v>8759</v>
      </c>
      <c r="D2375" s="1" t="s">
        <v>8760</v>
      </c>
      <c r="E2375" s="1" t="s">
        <v>8757</v>
      </c>
      <c r="F2375" s="1"/>
      <c r="G2375" s="1">
        <v>575006</v>
      </c>
      <c r="H2375" s="1">
        <v>150</v>
      </c>
    </row>
    <row r="2376" spans="1:8" ht="21.75" customHeight="1">
      <c r="A2376" s="1" t="str">
        <f>"IN30023910500992"</f>
        <v>IN30023910500992</v>
      </c>
      <c r="B2376" s="1" t="s">
        <v>8761</v>
      </c>
      <c r="C2376" s="1" t="s">
        <v>8762</v>
      </c>
      <c r="D2376" s="1" t="s">
        <v>8763</v>
      </c>
      <c r="E2376" s="1" t="s">
        <v>8757</v>
      </c>
      <c r="F2376" s="1"/>
      <c r="G2376" s="1">
        <v>575006</v>
      </c>
      <c r="H2376" s="1">
        <v>0.75</v>
      </c>
    </row>
    <row r="2377" spans="1:8" ht="21.75" customHeight="1">
      <c r="A2377" s="1" t="str">
        <f>"IN30023912070305"</f>
        <v>IN30023912070305</v>
      </c>
      <c r="B2377" s="1" t="s">
        <v>8764</v>
      </c>
      <c r="C2377" s="1" t="s">
        <v>8765</v>
      </c>
      <c r="D2377" s="1" t="s">
        <v>8766</v>
      </c>
      <c r="E2377" s="1" t="s">
        <v>8757</v>
      </c>
      <c r="F2377" s="1"/>
      <c r="G2377" s="1">
        <v>575015</v>
      </c>
      <c r="H2377" s="1">
        <v>37.5</v>
      </c>
    </row>
    <row r="2378" spans="1:8" ht="21.75" customHeight="1">
      <c r="A2378" s="1" t="str">
        <f>"1204720010332891"</f>
        <v>1204720010332891</v>
      </c>
      <c r="B2378" s="1" t="s">
        <v>8767</v>
      </c>
      <c r="C2378" s="1" t="s">
        <v>8768</v>
      </c>
      <c r="D2378" s="1" t="s">
        <v>8769</v>
      </c>
      <c r="E2378" s="1" t="s">
        <v>4134</v>
      </c>
      <c r="F2378" s="1" t="s">
        <v>4134</v>
      </c>
      <c r="G2378" s="1">
        <v>575025</v>
      </c>
      <c r="H2378" s="1">
        <v>3.75</v>
      </c>
    </row>
    <row r="2379" spans="1:8" ht="21.75" customHeight="1">
      <c r="A2379" s="1" t="str">
        <f>"1203500000383713"</f>
        <v>1203500000383713</v>
      </c>
      <c r="B2379" s="1" t="s">
        <v>8771</v>
      </c>
      <c r="C2379" s="1" t="s">
        <v>8772</v>
      </c>
      <c r="D2379" s="1" t="s">
        <v>8773</v>
      </c>
      <c r="E2379" s="1" t="s">
        <v>8774</v>
      </c>
      <c r="F2379" s="1" t="s">
        <v>8770</v>
      </c>
      <c r="G2379" s="1">
        <v>576101</v>
      </c>
      <c r="H2379" s="1">
        <v>75</v>
      </c>
    </row>
    <row r="2380" spans="1:8" ht="21.75" customHeight="1">
      <c r="A2380" s="1" t="str">
        <f>"IN30189511073922"</f>
        <v>IN30189511073922</v>
      </c>
      <c r="B2380" s="1" t="s">
        <v>8775</v>
      </c>
      <c r="C2380" s="1" t="s">
        <v>8776</v>
      </c>
      <c r="D2380" s="1" t="s">
        <v>8777</v>
      </c>
      <c r="E2380" s="1" t="s">
        <v>8778</v>
      </c>
      <c r="F2380" s="1"/>
      <c r="G2380" s="1">
        <v>576102</v>
      </c>
      <c r="H2380" s="1">
        <v>90</v>
      </c>
    </row>
    <row r="2381" spans="1:8" ht="21.75" customHeight="1">
      <c r="A2381" s="1" t="str">
        <f>"IN30307710224397"</f>
        <v>IN30307710224397</v>
      </c>
      <c r="B2381" s="1" t="s">
        <v>8779</v>
      </c>
      <c r="C2381" s="1" t="s">
        <v>8780</v>
      </c>
      <c r="D2381" s="1" t="s">
        <v>8781</v>
      </c>
      <c r="E2381" s="1" t="s">
        <v>8782</v>
      </c>
      <c r="F2381" s="1"/>
      <c r="G2381" s="1">
        <v>577301</v>
      </c>
      <c r="H2381" s="1">
        <v>375</v>
      </c>
    </row>
    <row r="2382" spans="1:8" ht="21.75" customHeight="1">
      <c r="A2382" s="1" t="str">
        <f>"IN30226913069006"</f>
        <v>IN30226913069006</v>
      </c>
      <c r="B2382" s="1" t="s">
        <v>8783</v>
      </c>
      <c r="C2382" s="1" t="s">
        <v>8784</v>
      </c>
      <c r="D2382" s="1" t="s">
        <v>8785</v>
      </c>
      <c r="E2382" s="1" t="s">
        <v>8786</v>
      </c>
      <c r="F2382" s="1"/>
      <c r="G2382" s="1">
        <v>577414</v>
      </c>
      <c r="H2382" s="1">
        <v>51</v>
      </c>
    </row>
    <row r="2383" spans="1:8" ht="21.75" customHeight="1">
      <c r="A2383" s="1" t="str">
        <f>"IN30307710326349"</f>
        <v>IN30307710326349</v>
      </c>
      <c r="B2383" s="1" t="s">
        <v>8787</v>
      </c>
      <c r="C2383" s="1" t="s">
        <v>8788</v>
      </c>
      <c r="D2383" s="1" t="s">
        <v>8785</v>
      </c>
      <c r="E2383" s="1" t="s">
        <v>8789</v>
      </c>
      <c r="F2383" s="1"/>
      <c r="G2383" s="1">
        <v>577432</v>
      </c>
      <c r="H2383" s="1">
        <v>150</v>
      </c>
    </row>
    <row r="2384" spans="1:8" ht="21.75" customHeight="1">
      <c r="A2384" s="1" t="str">
        <f>"IN30169610115108"</f>
        <v>IN30169610115108</v>
      </c>
      <c r="B2384" s="1" t="s">
        <v>8790</v>
      </c>
      <c r="C2384" s="1" t="s">
        <v>8791</v>
      </c>
      <c r="D2384" s="1" t="s">
        <v>8792</v>
      </c>
      <c r="E2384" s="1" t="s">
        <v>8793</v>
      </c>
      <c r="F2384" s="1"/>
      <c r="G2384" s="1">
        <v>577522</v>
      </c>
      <c r="H2384" s="1">
        <v>555.75</v>
      </c>
    </row>
    <row r="2385" spans="1:8" ht="21.75" customHeight="1">
      <c r="A2385" s="1" t="str">
        <f>"1204450000259394"</f>
        <v>1204450000259394</v>
      </c>
      <c r="B2385" s="1" t="s">
        <v>8794</v>
      </c>
      <c r="C2385" s="1" t="s">
        <v>8795</v>
      </c>
      <c r="D2385" s="1" t="s">
        <v>8689</v>
      </c>
      <c r="E2385" s="1"/>
      <c r="F2385" s="1" t="s">
        <v>4170</v>
      </c>
      <c r="G2385" s="1">
        <v>580007</v>
      </c>
      <c r="H2385" s="1">
        <v>75</v>
      </c>
    </row>
    <row r="2386" spans="1:8" ht="21.75" customHeight="1">
      <c r="A2386" s="1" t="str">
        <f>"IN30021414863014"</f>
        <v>IN30021414863014</v>
      </c>
      <c r="B2386" s="1" t="s">
        <v>8796</v>
      </c>
      <c r="C2386" s="1" t="s">
        <v>8797</v>
      </c>
      <c r="D2386" s="1" t="s">
        <v>8798</v>
      </c>
      <c r="E2386" s="1" t="s">
        <v>8799</v>
      </c>
      <c r="F2386" s="1"/>
      <c r="G2386" s="1">
        <v>580008</v>
      </c>
      <c r="H2386" s="1">
        <v>75</v>
      </c>
    </row>
    <row r="2387" spans="1:8" ht="21.75" customHeight="1">
      <c r="A2387" s="1" t="str">
        <f>"IN30311610008063"</f>
        <v>IN30311610008063</v>
      </c>
      <c r="B2387" s="1" t="s">
        <v>8800</v>
      </c>
      <c r="C2387" s="1" t="s">
        <v>8801</v>
      </c>
      <c r="D2387" s="1" t="s">
        <v>8802</v>
      </c>
      <c r="E2387" s="1" t="s">
        <v>8803</v>
      </c>
      <c r="F2387" s="1"/>
      <c r="G2387" s="1">
        <v>580031</v>
      </c>
      <c r="H2387" s="1">
        <v>2.25</v>
      </c>
    </row>
    <row r="2388" spans="1:8" ht="21.75" customHeight="1">
      <c r="A2388" s="1" t="str">
        <f>"1204720010294295"</f>
        <v>1204720010294295</v>
      </c>
      <c r="B2388" s="1" t="s">
        <v>8804</v>
      </c>
      <c r="C2388" s="1" t="s">
        <v>8805</v>
      </c>
      <c r="D2388" s="1" t="s">
        <v>8806</v>
      </c>
      <c r="E2388" s="1" t="s">
        <v>8807</v>
      </c>
      <c r="F2388" s="1" t="s">
        <v>352</v>
      </c>
      <c r="G2388" s="1">
        <v>581400</v>
      </c>
      <c r="H2388" s="1">
        <v>7.5</v>
      </c>
    </row>
    <row r="2389" spans="1:8" ht="21.75" customHeight="1">
      <c r="A2389" s="1" t="str">
        <f>"IN30061010054928"</f>
        <v>IN30061010054928</v>
      </c>
      <c r="B2389" s="1" t="s">
        <v>8808</v>
      </c>
      <c r="C2389" s="1" t="s">
        <v>8809</v>
      </c>
      <c r="D2389" s="1" t="s">
        <v>8810</v>
      </c>
      <c r="E2389" s="1" t="s">
        <v>8811</v>
      </c>
      <c r="F2389" s="1"/>
      <c r="G2389" s="1">
        <v>581401</v>
      </c>
      <c r="H2389" s="1">
        <v>33.75</v>
      </c>
    </row>
    <row r="2390" spans="1:8" ht="21.75" customHeight="1">
      <c r="A2390" s="1" t="str">
        <f>"1201060000575036"</f>
        <v>1201060000575036</v>
      </c>
      <c r="B2390" s="1" t="s">
        <v>8812</v>
      </c>
      <c r="C2390" s="1" t="s">
        <v>8813</v>
      </c>
      <c r="D2390" s="1" t="s">
        <v>8814</v>
      </c>
      <c r="E2390" s="1" t="s">
        <v>8815</v>
      </c>
      <c r="F2390" s="1" t="s">
        <v>4185</v>
      </c>
      <c r="G2390" s="1">
        <v>581401</v>
      </c>
      <c r="H2390" s="1">
        <v>75</v>
      </c>
    </row>
    <row r="2391" spans="1:8" ht="21.75" customHeight="1">
      <c r="A2391" s="1" t="str">
        <f>"1203320001490553"</f>
        <v>1203320001490553</v>
      </c>
      <c r="B2391" s="1" t="s">
        <v>8816</v>
      </c>
      <c r="C2391" s="1">
        <v>117</v>
      </c>
      <c r="D2391" s="1" t="s">
        <v>8817</v>
      </c>
      <c r="E2391" s="1"/>
      <c r="F2391" s="1" t="s">
        <v>4196</v>
      </c>
      <c r="G2391" s="1">
        <v>583119</v>
      </c>
      <c r="H2391" s="1">
        <v>2.25</v>
      </c>
    </row>
    <row r="2392" spans="1:8" ht="21.75" customHeight="1">
      <c r="A2392" s="1" t="str">
        <f>"1204470006616863"</f>
        <v>1204470006616863</v>
      </c>
      <c r="B2392" s="1" t="s">
        <v>8818</v>
      </c>
      <c r="C2392" s="1" t="s">
        <v>8819</v>
      </c>
      <c r="D2392" s="1" t="s">
        <v>8820</v>
      </c>
      <c r="E2392" s="1" t="s">
        <v>4203</v>
      </c>
      <c r="F2392" s="1" t="s">
        <v>4203</v>
      </c>
      <c r="G2392" s="1">
        <v>583132</v>
      </c>
      <c r="H2392" s="1">
        <v>3.75</v>
      </c>
    </row>
    <row r="2393" spans="1:8" ht="21.75" customHeight="1">
      <c r="A2393" s="1" t="str">
        <f>"1204450000131202"</f>
        <v>1204450000131202</v>
      </c>
      <c r="B2393" s="1" t="s">
        <v>8821</v>
      </c>
      <c r="C2393" s="1" t="s">
        <v>8822</v>
      </c>
      <c r="D2393" s="1" t="s">
        <v>8823</v>
      </c>
      <c r="E2393" s="1" t="s">
        <v>8824</v>
      </c>
      <c r="F2393" s="1" t="s">
        <v>4224</v>
      </c>
      <c r="G2393" s="1">
        <v>584101</v>
      </c>
      <c r="H2393" s="1">
        <v>30.75</v>
      </c>
    </row>
    <row r="2394" spans="1:8" ht="21.75" customHeight="1">
      <c r="A2394" s="1" t="str">
        <f>"IN30177416772672"</f>
        <v>IN30177416772672</v>
      </c>
      <c r="B2394" s="1" t="s">
        <v>8825</v>
      </c>
      <c r="C2394" s="1" t="s">
        <v>8826</v>
      </c>
      <c r="D2394" s="1" t="s">
        <v>307</v>
      </c>
      <c r="E2394" s="1" t="s">
        <v>8827</v>
      </c>
      <c r="F2394" s="1"/>
      <c r="G2394" s="1">
        <v>584135</v>
      </c>
      <c r="H2394" s="1">
        <v>75</v>
      </c>
    </row>
    <row r="2395" spans="1:8" ht="21.75" customHeight="1">
      <c r="A2395" s="1" t="str">
        <f>"1203500000165831"</f>
        <v>1203500000165831</v>
      </c>
      <c r="B2395" s="1" t="s">
        <v>8828</v>
      </c>
      <c r="C2395" s="1" t="s">
        <v>8829</v>
      </c>
      <c r="D2395" s="1" t="s">
        <v>8830</v>
      </c>
      <c r="E2395" s="1" t="s">
        <v>8831</v>
      </c>
      <c r="F2395" s="1" t="s">
        <v>357</v>
      </c>
      <c r="G2395" s="1">
        <v>590006</v>
      </c>
      <c r="H2395" s="1">
        <v>60</v>
      </c>
    </row>
    <row r="2396" spans="1:8" ht="21.75" customHeight="1">
      <c r="A2396" s="1" t="str">
        <f>"1203320005030041"</f>
        <v>1203320005030041</v>
      </c>
      <c r="B2396" s="1" t="s">
        <v>8832</v>
      </c>
      <c r="C2396" s="1" t="s">
        <v>8833</v>
      </c>
      <c r="D2396" s="1" t="s">
        <v>8834</v>
      </c>
      <c r="E2396" s="1"/>
      <c r="F2396" s="1" t="s">
        <v>357</v>
      </c>
      <c r="G2396" s="1">
        <v>590006</v>
      </c>
      <c r="H2396" s="1">
        <v>1.5</v>
      </c>
    </row>
    <row r="2397" spans="1:8" ht="21.75" customHeight="1">
      <c r="A2397" s="1" t="str">
        <f>"IN30114310627259"</f>
        <v>IN30114310627259</v>
      </c>
      <c r="B2397" s="1" t="s">
        <v>8835</v>
      </c>
      <c r="C2397" s="1">
        <v>795</v>
      </c>
      <c r="D2397" s="1" t="s">
        <v>8836</v>
      </c>
      <c r="E2397" s="1" t="s">
        <v>8837</v>
      </c>
      <c r="F2397" s="1"/>
      <c r="G2397" s="1">
        <v>590016</v>
      </c>
      <c r="H2397" s="1">
        <v>22.5</v>
      </c>
    </row>
    <row r="2398" spans="1:8" ht="21.75" customHeight="1">
      <c r="A2398" s="1" t="str">
        <f>"1203500000158070"</f>
        <v>1203500000158070</v>
      </c>
      <c r="B2398" s="1" t="s">
        <v>8838</v>
      </c>
      <c r="C2398" s="1" t="s">
        <v>8839</v>
      </c>
      <c r="D2398" s="1" t="s">
        <v>8840</v>
      </c>
      <c r="E2398" s="1" t="s">
        <v>8841</v>
      </c>
      <c r="F2398" s="1" t="s">
        <v>357</v>
      </c>
      <c r="G2398" s="1">
        <v>590016</v>
      </c>
      <c r="H2398" s="1">
        <v>11.25</v>
      </c>
    </row>
    <row r="2399" spans="1:8" ht="21.75" customHeight="1">
      <c r="A2399" s="1" t="str">
        <f>"IN30113526739513"</f>
        <v>IN30113526739513</v>
      </c>
      <c r="B2399" s="1" t="s">
        <v>8842</v>
      </c>
      <c r="C2399" s="1" t="s">
        <v>8843</v>
      </c>
      <c r="D2399" s="1" t="s">
        <v>8844</v>
      </c>
      <c r="E2399" s="1" t="s">
        <v>8845</v>
      </c>
      <c r="F2399" s="1"/>
      <c r="G2399" s="1">
        <v>590029</v>
      </c>
      <c r="H2399" s="1">
        <v>75</v>
      </c>
    </row>
    <row r="2400" spans="1:8" ht="21.75" customHeight="1">
      <c r="A2400" s="1" t="str">
        <f>"1201320001064364"</f>
        <v>1201320001064364</v>
      </c>
      <c r="B2400" s="1" t="s">
        <v>8846</v>
      </c>
      <c r="C2400" s="1" t="s">
        <v>8847</v>
      </c>
      <c r="D2400" s="1" t="s">
        <v>8848</v>
      </c>
      <c r="E2400" s="1"/>
      <c r="F2400" s="1" t="s">
        <v>8849</v>
      </c>
      <c r="G2400" s="1">
        <v>591102</v>
      </c>
      <c r="H2400" s="1">
        <v>37.5</v>
      </c>
    </row>
    <row r="2401" spans="1:8" ht="21.75" customHeight="1">
      <c r="A2401" s="1" t="str">
        <f>"1201070000253903"</f>
        <v>1201070000253903</v>
      </c>
      <c r="B2401" s="1" t="s">
        <v>8850</v>
      </c>
      <c r="C2401" s="1" t="s">
        <v>8851</v>
      </c>
      <c r="D2401" s="1" t="s">
        <v>8852</v>
      </c>
      <c r="E2401" s="1" t="s">
        <v>8853</v>
      </c>
      <c r="F2401" s="1" t="s">
        <v>357</v>
      </c>
      <c r="G2401" s="1">
        <v>591104</v>
      </c>
      <c r="H2401" s="1">
        <v>375</v>
      </c>
    </row>
    <row r="2402" spans="1:8" ht="21.75" customHeight="1">
      <c r="A2402" s="1" t="str">
        <f>"1202890000868011"</f>
        <v>1202890000868011</v>
      </c>
      <c r="B2402" s="1" t="s">
        <v>8854</v>
      </c>
      <c r="C2402" s="1" t="s">
        <v>8855</v>
      </c>
      <c r="D2402" s="1" t="s">
        <v>8856</v>
      </c>
      <c r="E2402" s="1" t="s">
        <v>8857</v>
      </c>
      <c r="F2402" s="1" t="s">
        <v>357</v>
      </c>
      <c r="G2402" s="1">
        <v>591247</v>
      </c>
      <c r="H2402" s="1">
        <v>15</v>
      </c>
    </row>
    <row r="2403" spans="1:8" ht="21.75" customHeight="1">
      <c r="A2403" s="1" t="str">
        <f>"004464"</f>
        <v>004464</v>
      </c>
      <c r="B2403" s="1" t="s">
        <v>8858</v>
      </c>
      <c r="C2403" s="1" t="s">
        <v>8859</v>
      </c>
      <c r="D2403" s="1"/>
      <c r="E2403" s="1" t="s">
        <v>58</v>
      </c>
      <c r="F2403" s="1" t="s">
        <v>58</v>
      </c>
      <c r="G2403" s="1">
        <v>600001</v>
      </c>
      <c r="H2403" s="1">
        <v>0.75</v>
      </c>
    </row>
    <row r="2404" spans="1:8" ht="21.75" customHeight="1">
      <c r="A2404" s="1" t="str">
        <f>"IN30039414871909"</f>
        <v>IN30039414871909</v>
      </c>
      <c r="B2404" s="1" t="s">
        <v>6902</v>
      </c>
      <c r="C2404" s="1" t="s">
        <v>371</v>
      </c>
      <c r="D2404" s="1" t="s">
        <v>8860</v>
      </c>
      <c r="E2404" s="1" t="s">
        <v>8861</v>
      </c>
      <c r="F2404" s="1"/>
      <c r="G2404" s="1">
        <v>600001</v>
      </c>
      <c r="H2404" s="1">
        <v>75</v>
      </c>
    </row>
    <row r="2405" spans="1:8" ht="21.75" customHeight="1">
      <c r="A2405" s="1" t="str">
        <f>"IN30163740618704"</f>
        <v>IN30163740618704</v>
      </c>
      <c r="B2405" s="1" t="s">
        <v>8862</v>
      </c>
      <c r="C2405" s="1" t="s">
        <v>8863</v>
      </c>
      <c r="D2405" s="1" t="s">
        <v>369</v>
      </c>
      <c r="E2405" s="1" t="s">
        <v>370</v>
      </c>
      <c r="F2405" s="1"/>
      <c r="G2405" s="1">
        <v>600005</v>
      </c>
      <c r="H2405" s="1">
        <v>75</v>
      </c>
    </row>
    <row r="2406" spans="1:8" ht="21.75" customHeight="1">
      <c r="A2406" s="1" t="str">
        <f>"IN30169610755258"</f>
        <v>IN30169610755258</v>
      </c>
      <c r="B2406" s="1" t="s">
        <v>8864</v>
      </c>
      <c r="C2406" s="1" t="s">
        <v>8865</v>
      </c>
      <c r="D2406" s="1" t="s">
        <v>8866</v>
      </c>
      <c r="E2406" s="1" t="s">
        <v>8867</v>
      </c>
      <c r="F2406" s="1"/>
      <c r="G2406" s="1">
        <v>600017</v>
      </c>
      <c r="H2406" s="1">
        <v>375</v>
      </c>
    </row>
    <row r="2407" spans="1:8" ht="21.75" customHeight="1">
      <c r="A2407" s="1" t="str">
        <f>"IN30039416646753"</f>
        <v>IN30039416646753</v>
      </c>
      <c r="B2407" s="1" t="s">
        <v>8868</v>
      </c>
      <c r="C2407" s="1" t="s">
        <v>8869</v>
      </c>
      <c r="D2407" s="1" t="s">
        <v>8870</v>
      </c>
      <c r="E2407" s="1" t="s">
        <v>8871</v>
      </c>
      <c r="F2407" s="1"/>
      <c r="G2407" s="1">
        <v>600018</v>
      </c>
      <c r="H2407" s="1">
        <v>37.5</v>
      </c>
    </row>
    <row r="2408" spans="1:8" ht="21.75" customHeight="1">
      <c r="A2408" s="1" t="str">
        <f>"IN30051315975739"</f>
        <v>IN30051315975739</v>
      </c>
      <c r="B2408" s="1" t="s">
        <v>8872</v>
      </c>
      <c r="C2408" s="1" t="s">
        <v>8873</v>
      </c>
      <c r="D2408" s="1" t="s">
        <v>8874</v>
      </c>
      <c r="E2408" s="1" t="s">
        <v>8875</v>
      </c>
      <c r="F2408" s="1"/>
      <c r="G2408" s="1">
        <v>600026</v>
      </c>
      <c r="H2408" s="1">
        <v>1.5</v>
      </c>
    </row>
    <row r="2409" spans="1:8" ht="21.75" customHeight="1">
      <c r="A2409" s="1" t="str">
        <f>"1601010300001814"</f>
        <v>1601010300001814</v>
      </c>
      <c r="B2409" s="1" t="s">
        <v>8876</v>
      </c>
      <c r="C2409" s="1" t="s">
        <v>8877</v>
      </c>
      <c r="D2409" s="1" t="s">
        <v>8878</v>
      </c>
      <c r="E2409" s="1" t="s">
        <v>8879</v>
      </c>
      <c r="F2409" s="1" t="s">
        <v>58</v>
      </c>
      <c r="G2409" s="1">
        <v>600028</v>
      </c>
      <c r="H2409" s="1">
        <v>37.5</v>
      </c>
    </row>
    <row r="2410" spans="1:8" ht="21.75" customHeight="1">
      <c r="A2410" s="1" t="str">
        <f>"IN30018312363373"</f>
        <v>IN30018312363373</v>
      </c>
      <c r="B2410" s="1" t="s">
        <v>8880</v>
      </c>
      <c r="C2410" s="1" t="s">
        <v>8881</v>
      </c>
      <c r="D2410" s="1" t="s">
        <v>8882</v>
      </c>
      <c r="E2410" s="1" t="s">
        <v>8883</v>
      </c>
      <c r="F2410" s="1"/>
      <c r="G2410" s="1">
        <v>600028</v>
      </c>
      <c r="H2410" s="1">
        <v>150</v>
      </c>
    </row>
    <row r="2411" spans="1:8" ht="21.75" customHeight="1">
      <c r="A2411" s="1" t="str">
        <f>"1601010300001829"</f>
        <v>1601010300001829</v>
      </c>
      <c r="B2411" s="1" t="s">
        <v>8884</v>
      </c>
      <c r="C2411" s="1" t="s">
        <v>8877</v>
      </c>
      <c r="D2411" s="1" t="s">
        <v>8878</v>
      </c>
      <c r="E2411" s="1" t="s">
        <v>8885</v>
      </c>
      <c r="F2411" s="1" t="s">
        <v>58</v>
      </c>
      <c r="G2411" s="1">
        <v>600028</v>
      </c>
      <c r="H2411" s="1">
        <v>37.5</v>
      </c>
    </row>
    <row r="2412" spans="1:8" ht="21.75" customHeight="1">
      <c r="A2412" s="1" t="str">
        <f>"1601010300001848"</f>
        <v>1601010300001848</v>
      </c>
      <c r="B2412" s="1" t="s">
        <v>8886</v>
      </c>
      <c r="C2412" s="1" t="s">
        <v>8877</v>
      </c>
      <c r="D2412" s="1" t="s">
        <v>8878</v>
      </c>
      <c r="E2412" s="1" t="s">
        <v>8885</v>
      </c>
      <c r="F2412" s="1" t="s">
        <v>58</v>
      </c>
      <c r="G2412" s="1">
        <v>600028</v>
      </c>
      <c r="H2412" s="1">
        <v>37.5</v>
      </c>
    </row>
    <row r="2413" spans="1:8" ht="21.75" customHeight="1">
      <c r="A2413" s="1" t="str">
        <f>"1201090013701892"</f>
        <v>1201090013701892</v>
      </c>
      <c r="B2413" s="1" t="s">
        <v>8887</v>
      </c>
      <c r="C2413" s="1" t="s">
        <v>8888</v>
      </c>
      <c r="D2413" s="1" t="s">
        <v>8889</v>
      </c>
      <c r="E2413" s="1" t="s">
        <v>8890</v>
      </c>
      <c r="F2413" s="1" t="s">
        <v>58</v>
      </c>
      <c r="G2413" s="1">
        <v>600030</v>
      </c>
      <c r="H2413" s="1">
        <v>15</v>
      </c>
    </row>
    <row r="2414" spans="1:8" ht="21.75" customHeight="1">
      <c r="A2414" s="1" t="str">
        <f>"IN30044110671098"</f>
        <v>IN30044110671098</v>
      </c>
      <c r="B2414" s="1" t="s">
        <v>8891</v>
      </c>
      <c r="C2414" s="1" t="s">
        <v>8892</v>
      </c>
      <c r="D2414" s="1" t="s">
        <v>8893</v>
      </c>
      <c r="E2414" s="1" t="s">
        <v>8894</v>
      </c>
      <c r="F2414" s="1"/>
      <c r="G2414" s="1">
        <v>600030</v>
      </c>
      <c r="H2414" s="1">
        <v>30</v>
      </c>
    </row>
    <row r="2415" spans="1:8" ht="21.75" customHeight="1">
      <c r="A2415" s="1" t="str">
        <f>"IN30131321031845"</f>
        <v>IN30131321031845</v>
      </c>
      <c r="B2415" s="1" t="s">
        <v>8895</v>
      </c>
      <c r="C2415" s="1" t="s">
        <v>8896</v>
      </c>
      <c r="D2415" s="1" t="s">
        <v>8897</v>
      </c>
      <c r="E2415" s="1" t="s">
        <v>8898</v>
      </c>
      <c r="F2415" s="1"/>
      <c r="G2415" s="1">
        <v>600033</v>
      </c>
      <c r="H2415" s="1">
        <v>150</v>
      </c>
    </row>
    <row r="2416" spans="1:8" ht="21.75" customHeight="1">
      <c r="A2416" s="1" t="str">
        <f>"IN30021410682247"</f>
        <v>IN30021410682247</v>
      </c>
      <c r="B2416" s="1" t="s">
        <v>8899</v>
      </c>
      <c r="C2416" s="1" t="s">
        <v>8900</v>
      </c>
      <c r="D2416" s="1" t="s">
        <v>8901</v>
      </c>
      <c r="E2416" s="1" t="s">
        <v>8902</v>
      </c>
      <c r="F2416" s="1"/>
      <c r="G2416" s="1">
        <v>600034</v>
      </c>
      <c r="H2416" s="1">
        <v>210</v>
      </c>
    </row>
    <row r="2417" spans="1:8" ht="21.75" customHeight="1">
      <c r="A2417" s="1" t="str">
        <f>"IN30039415342604"</f>
        <v>IN30039415342604</v>
      </c>
      <c r="B2417" s="1" t="s">
        <v>8903</v>
      </c>
      <c r="C2417" s="1" t="s">
        <v>8904</v>
      </c>
      <c r="D2417" s="1" t="s">
        <v>8905</v>
      </c>
      <c r="E2417" s="1" t="s">
        <v>8906</v>
      </c>
      <c r="F2417" s="1"/>
      <c r="G2417" s="1">
        <v>600044</v>
      </c>
      <c r="H2417" s="1">
        <v>150</v>
      </c>
    </row>
    <row r="2418" spans="1:8" ht="21.75" customHeight="1">
      <c r="A2418" s="1" t="str">
        <f>"1203500000024732"</f>
        <v>1203500000024732</v>
      </c>
      <c r="B2418" s="1" t="s">
        <v>8907</v>
      </c>
      <c r="C2418" s="1" t="s">
        <v>8908</v>
      </c>
      <c r="D2418" s="1" t="s">
        <v>8909</v>
      </c>
      <c r="E2418" s="1" t="s">
        <v>8910</v>
      </c>
      <c r="F2418" s="1" t="s">
        <v>58</v>
      </c>
      <c r="G2418" s="1">
        <v>600049</v>
      </c>
      <c r="H2418" s="1">
        <v>187.5</v>
      </c>
    </row>
    <row r="2419" spans="1:8" ht="21.75" customHeight="1">
      <c r="A2419" s="1" t="str">
        <f>"IN30051312106200"</f>
        <v>IN30051312106200</v>
      </c>
      <c r="B2419" s="1" t="s">
        <v>8911</v>
      </c>
      <c r="C2419" s="1" t="s">
        <v>8912</v>
      </c>
      <c r="D2419" s="1" t="s">
        <v>8913</v>
      </c>
      <c r="E2419" s="1" t="s">
        <v>8914</v>
      </c>
      <c r="F2419" s="1"/>
      <c r="G2419" s="1">
        <v>600050</v>
      </c>
      <c r="H2419" s="1">
        <v>15</v>
      </c>
    </row>
    <row r="2420" spans="1:8" ht="21.75" customHeight="1">
      <c r="A2420" s="1" t="str">
        <f>"IN30131320846356"</f>
        <v>IN30131320846356</v>
      </c>
      <c r="B2420" s="1" t="s">
        <v>8915</v>
      </c>
      <c r="C2420" s="1" t="s">
        <v>8916</v>
      </c>
      <c r="D2420" s="1" t="s">
        <v>6612</v>
      </c>
      <c r="E2420" s="1" t="s">
        <v>8917</v>
      </c>
      <c r="F2420" s="1"/>
      <c r="G2420" s="1">
        <v>600054</v>
      </c>
      <c r="H2420" s="1">
        <v>9</v>
      </c>
    </row>
    <row r="2421" spans="1:8" ht="21.75" customHeight="1">
      <c r="A2421" s="1" t="str">
        <f>"1203000000574412"</f>
        <v>1203000000574412</v>
      </c>
      <c r="B2421" s="1" t="s">
        <v>8918</v>
      </c>
      <c r="C2421" s="1" t="s">
        <v>8919</v>
      </c>
      <c r="D2421" s="1" t="s">
        <v>8920</v>
      </c>
      <c r="E2421" s="1" t="s">
        <v>8921</v>
      </c>
      <c r="F2421" s="1" t="s">
        <v>58</v>
      </c>
      <c r="G2421" s="1">
        <v>600073</v>
      </c>
      <c r="H2421" s="1">
        <v>63.75</v>
      </c>
    </row>
    <row r="2422" spans="1:8" ht="21.75" customHeight="1">
      <c r="A2422" s="1" t="str">
        <f>"IN30163741207305"</f>
        <v>IN30163741207305</v>
      </c>
      <c r="B2422" s="1" t="s">
        <v>8922</v>
      </c>
      <c r="C2422" s="1" t="s">
        <v>8923</v>
      </c>
      <c r="D2422" s="1" t="s">
        <v>8924</v>
      </c>
      <c r="E2422" s="1" t="s">
        <v>8925</v>
      </c>
      <c r="F2422" s="1"/>
      <c r="G2422" s="1">
        <v>600074</v>
      </c>
      <c r="H2422" s="1">
        <v>90</v>
      </c>
    </row>
    <row r="2423" spans="1:8" ht="21.75" customHeight="1">
      <c r="A2423" s="1" t="str">
        <f>"IN30163741607264"</f>
        <v>IN30163741607264</v>
      </c>
      <c r="B2423" s="1" t="s">
        <v>8926</v>
      </c>
      <c r="C2423" s="1" t="s">
        <v>8927</v>
      </c>
      <c r="D2423" s="1" t="s">
        <v>8928</v>
      </c>
      <c r="E2423" s="1" t="s">
        <v>8929</v>
      </c>
      <c r="F2423" s="1"/>
      <c r="G2423" s="1">
        <v>600079</v>
      </c>
      <c r="H2423" s="1">
        <v>0.75</v>
      </c>
    </row>
    <row r="2424" spans="1:8" ht="21.75" customHeight="1">
      <c r="A2424" s="1" t="str">
        <f>"IN30163740731413"</f>
        <v>IN30163740731413</v>
      </c>
      <c r="B2424" s="1" t="s">
        <v>8930</v>
      </c>
      <c r="C2424" s="1" t="s">
        <v>8931</v>
      </c>
      <c r="D2424" s="1" t="s">
        <v>8932</v>
      </c>
      <c r="E2424" s="1" t="s">
        <v>8933</v>
      </c>
      <c r="F2424" s="1"/>
      <c r="G2424" s="1">
        <v>600079</v>
      </c>
      <c r="H2424" s="1">
        <v>75</v>
      </c>
    </row>
    <row r="2425" spans="1:8" ht="21.75" customHeight="1">
      <c r="A2425" s="1" t="str">
        <f>"IN30287120610988"</f>
        <v>IN30287120610988</v>
      </c>
      <c r="B2425" s="1" t="s">
        <v>8934</v>
      </c>
      <c r="C2425" s="1" t="s">
        <v>8935</v>
      </c>
      <c r="D2425" s="1" t="s">
        <v>8936</v>
      </c>
      <c r="E2425" s="1" t="s">
        <v>8937</v>
      </c>
      <c r="F2425" s="1"/>
      <c r="G2425" s="1">
        <v>600079</v>
      </c>
      <c r="H2425" s="1">
        <v>243.75</v>
      </c>
    </row>
    <row r="2426" spans="1:8" ht="21.75" customHeight="1">
      <c r="A2426" s="1" t="str">
        <f>"IN30021414497308"</f>
        <v>IN30021414497308</v>
      </c>
      <c r="B2426" s="1" t="s">
        <v>8938</v>
      </c>
      <c r="C2426" s="1" t="s">
        <v>8939</v>
      </c>
      <c r="D2426" s="1" t="s">
        <v>8940</v>
      </c>
      <c r="E2426" s="1" t="s">
        <v>8941</v>
      </c>
      <c r="F2426" s="1"/>
      <c r="G2426" s="1">
        <v>600083</v>
      </c>
      <c r="H2426" s="1">
        <v>0.75</v>
      </c>
    </row>
    <row r="2427" spans="1:8" ht="21.75" customHeight="1">
      <c r="A2427" s="1" t="str">
        <f>"1203600000207016"</f>
        <v>1203600000207016</v>
      </c>
      <c r="B2427" s="1" t="s">
        <v>8942</v>
      </c>
      <c r="C2427" s="1" t="s">
        <v>8943</v>
      </c>
      <c r="D2427" s="1" t="s">
        <v>8944</v>
      </c>
      <c r="E2427" s="1" t="s">
        <v>8945</v>
      </c>
      <c r="F2427" s="1" t="s">
        <v>58</v>
      </c>
      <c r="G2427" s="1">
        <v>600087</v>
      </c>
      <c r="H2427" s="1">
        <v>37.5</v>
      </c>
    </row>
    <row r="2428" spans="1:8" ht="21.75" customHeight="1">
      <c r="A2428" s="1" t="str">
        <f>"1208160055261373"</f>
        <v>1208160055261373</v>
      </c>
      <c r="B2428" s="1" t="s">
        <v>8946</v>
      </c>
      <c r="C2428" s="1" t="s">
        <v>8947</v>
      </c>
      <c r="D2428" s="1"/>
      <c r="E2428" s="1"/>
      <c r="F2428" s="1" t="s">
        <v>58</v>
      </c>
      <c r="G2428" s="1">
        <v>600088</v>
      </c>
      <c r="H2428" s="1">
        <v>37.5</v>
      </c>
    </row>
    <row r="2429" spans="1:8" ht="21.75" customHeight="1">
      <c r="A2429" s="1" t="str">
        <f>"1203600002998748"</f>
        <v>1203600002998748</v>
      </c>
      <c r="B2429" s="1" t="s">
        <v>8948</v>
      </c>
      <c r="C2429" s="1" t="s">
        <v>8949</v>
      </c>
      <c r="D2429" s="1" t="s">
        <v>8950</v>
      </c>
      <c r="E2429" s="1" t="s">
        <v>58</v>
      </c>
      <c r="F2429" s="1" t="s">
        <v>58</v>
      </c>
      <c r="G2429" s="1">
        <v>600090</v>
      </c>
      <c r="H2429" s="1">
        <v>300</v>
      </c>
    </row>
    <row r="2430" spans="1:8" ht="21.75" customHeight="1">
      <c r="A2430" s="1" t="str">
        <f>"IN30243720056527"</f>
        <v>IN30243720056527</v>
      </c>
      <c r="B2430" s="1" t="s">
        <v>8951</v>
      </c>
      <c r="C2430" s="1" t="s">
        <v>8952</v>
      </c>
      <c r="D2430" s="1" t="s">
        <v>8953</v>
      </c>
      <c r="E2430" s="1" t="s">
        <v>8954</v>
      </c>
      <c r="F2430" s="1"/>
      <c r="G2430" s="1">
        <v>600099</v>
      </c>
      <c r="H2430" s="1">
        <v>18.75</v>
      </c>
    </row>
    <row r="2431" spans="1:8" ht="21.75" customHeight="1">
      <c r="A2431" s="1" t="str">
        <f>"1208530000521189"</f>
        <v>1208530000521189</v>
      </c>
      <c r="B2431" s="1" t="s">
        <v>8955</v>
      </c>
      <c r="C2431" s="1" t="s">
        <v>8956</v>
      </c>
      <c r="D2431" s="1" t="s">
        <v>8957</v>
      </c>
      <c r="E2431" s="1" t="s">
        <v>8958</v>
      </c>
      <c r="F2431" s="1" t="s">
        <v>58</v>
      </c>
      <c r="G2431" s="1">
        <v>600101</v>
      </c>
      <c r="H2431" s="1">
        <v>0.75</v>
      </c>
    </row>
    <row r="2432" spans="1:8" ht="21.75" customHeight="1">
      <c r="A2432" s="1" t="str">
        <f>"1203600004983086"</f>
        <v>1203600004983086</v>
      </c>
      <c r="B2432" s="1" t="s">
        <v>8959</v>
      </c>
      <c r="C2432" s="1" t="s">
        <v>8960</v>
      </c>
      <c r="D2432" s="1" t="s">
        <v>8961</v>
      </c>
      <c r="E2432" s="1" t="s">
        <v>8962</v>
      </c>
      <c r="F2432" s="1" t="s">
        <v>4282</v>
      </c>
      <c r="G2432" s="1">
        <v>600116</v>
      </c>
      <c r="H2432" s="1">
        <v>0.75</v>
      </c>
    </row>
    <row r="2433" spans="1:8" ht="21.75" customHeight="1">
      <c r="A2433" s="1" t="str">
        <f>"1202990004547599"</f>
        <v>1202990004547599</v>
      </c>
      <c r="B2433" s="1" t="s">
        <v>8963</v>
      </c>
      <c r="C2433" s="1">
        <v>4</v>
      </c>
      <c r="D2433" s="1" t="s">
        <v>8964</v>
      </c>
      <c r="E2433" s="1" t="s">
        <v>8965</v>
      </c>
      <c r="F2433" s="1" t="s">
        <v>58</v>
      </c>
      <c r="G2433" s="1">
        <v>600118</v>
      </c>
      <c r="H2433" s="1">
        <v>60</v>
      </c>
    </row>
    <row r="2434" spans="1:8" ht="21.75" customHeight="1">
      <c r="A2434" s="1" t="str">
        <f>"1202770000389480"</f>
        <v>1202770000389480</v>
      </c>
      <c r="B2434" s="1" t="s">
        <v>8966</v>
      </c>
      <c r="C2434" s="1" t="s">
        <v>8967</v>
      </c>
      <c r="D2434" s="1" t="s">
        <v>8968</v>
      </c>
      <c r="E2434" s="1" t="s">
        <v>8969</v>
      </c>
      <c r="F2434" s="1" t="s">
        <v>380</v>
      </c>
      <c r="G2434" s="1">
        <v>603302</v>
      </c>
      <c r="H2434" s="1">
        <v>6.75</v>
      </c>
    </row>
    <row r="2435" spans="1:8" ht="21.75" customHeight="1">
      <c r="A2435" s="1" t="str">
        <f>"IN30021411437573"</f>
        <v>IN30021411437573</v>
      </c>
      <c r="B2435" s="1" t="s">
        <v>8970</v>
      </c>
      <c r="C2435" s="1" t="s">
        <v>8971</v>
      </c>
      <c r="D2435" s="1" t="s">
        <v>8972</v>
      </c>
      <c r="E2435" s="1" t="s">
        <v>8973</v>
      </c>
      <c r="F2435" s="1"/>
      <c r="G2435" s="1">
        <v>605011</v>
      </c>
      <c r="H2435" s="1">
        <v>46.5</v>
      </c>
    </row>
    <row r="2436" spans="1:8" ht="21.75" customHeight="1">
      <c r="A2436" s="1" t="str">
        <f>"IN30017510333530"</f>
        <v>IN30017510333530</v>
      </c>
      <c r="B2436" s="1" t="s">
        <v>8974</v>
      </c>
      <c r="C2436" s="1" t="s">
        <v>8975</v>
      </c>
      <c r="D2436" s="1" t="s">
        <v>8972</v>
      </c>
      <c r="E2436" s="1" t="s">
        <v>8976</v>
      </c>
      <c r="F2436" s="1"/>
      <c r="G2436" s="1">
        <v>605011</v>
      </c>
      <c r="H2436" s="1">
        <v>112.5</v>
      </c>
    </row>
    <row r="2437" spans="1:8" ht="21.75" customHeight="1">
      <c r="A2437" s="1" t="str">
        <f>"1204470002249602"</f>
        <v>1204470002249602</v>
      </c>
      <c r="B2437" s="1" t="s">
        <v>8977</v>
      </c>
      <c r="C2437" s="1" t="s">
        <v>8978</v>
      </c>
      <c r="D2437" s="1" t="s">
        <v>8979</v>
      </c>
      <c r="E2437" s="1" t="s">
        <v>963</v>
      </c>
      <c r="F2437" s="1" t="s">
        <v>4544</v>
      </c>
      <c r="G2437" s="1">
        <v>607807</v>
      </c>
      <c r="H2437" s="1">
        <v>487.5</v>
      </c>
    </row>
    <row r="2438" spans="1:8" ht="21.75" customHeight="1">
      <c r="A2438" s="1" t="str">
        <f>"IN30163740628042"</f>
        <v>IN30163740628042</v>
      </c>
      <c r="B2438" s="1" t="s">
        <v>8980</v>
      </c>
      <c r="C2438" s="1" t="s">
        <v>8981</v>
      </c>
      <c r="D2438" s="1" t="s">
        <v>4552</v>
      </c>
      <c r="E2438" s="1"/>
      <c r="F2438" s="1"/>
      <c r="G2438" s="1">
        <v>608001</v>
      </c>
      <c r="H2438" s="1">
        <v>18.75</v>
      </c>
    </row>
    <row r="2439" spans="1:8" ht="21.75" customHeight="1">
      <c r="A2439" s="1" t="str">
        <f>"IN30108022647067"</f>
        <v>IN30108022647067</v>
      </c>
      <c r="B2439" s="1" t="s">
        <v>8982</v>
      </c>
      <c r="C2439" s="1" t="s">
        <v>8983</v>
      </c>
      <c r="D2439" s="1" t="s">
        <v>8984</v>
      </c>
      <c r="E2439" s="1" t="s">
        <v>4552</v>
      </c>
      <c r="F2439" s="1"/>
      <c r="G2439" s="1">
        <v>608001</v>
      </c>
      <c r="H2439" s="1">
        <v>9</v>
      </c>
    </row>
    <row r="2440" spans="1:8" ht="21.75" customHeight="1">
      <c r="A2440" s="1" t="str">
        <f>"1208870089602370"</f>
        <v>1208870089602370</v>
      </c>
      <c r="B2440" s="1" t="s">
        <v>8985</v>
      </c>
      <c r="C2440" s="1" t="s">
        <v>8986</v>
      </c>
      <c r="D2440" s="1" t="s">
        <v>8987</v>
      </c>
      <c r="E2440" s="1" t="s">
        <v>8988</v>
      </c>
      <c r="F2440" s="1" t="s">
        <v>4575</v>
      </c>
      <c r="G2440" s="1">
        <v>610001</v>
      </c>
      <c r="H2440" s="1">
        <v>3.75</v>
      </c>
    </row>
    <row r="2441" spans="1:8" ht="21.75" customHeight="1">
      <c r="A2441" s="1" t="str">
        <f>"IN30177415177720"</f>
        <v>IN30177415177720</v>
      </c>
      <c r="B2441" s="1" t="s">
        <v>8989</v>
      </c>
      <c r="C2441" s="1" t="s">
        <v>8990</v>
      </c>
      <c r="D2441" s="1" t="s">
        <v>8991</v>
      </c>
      <c r="E2441" s="1" t="s">
        <v>8992</v>
      </c>
      <c r="F2441" s="1"/>
      <c r="G2441" s="1">
        <v>611001</v>
      </c>
      <c r="H2441" s="1">
        <v>15</v>
      </c>
    </row>
    <row r="2442" spans="1:8" ht="21.75" customHeight="1">
      <c r="A2442" s="1" t="str">
        <f>"IN30226913067682"</f>
        <v>IN30226913067682</v>
      </c>
      <c r="B2442" s="1" t="s">
        <v>8993</v>
      </c>
      <c r="C2442" s="1" t="s">
        <v>8994</v>
      </c>
      <c r="D2442" s="1" t="s">
        <v>8995</v>
      </c>
      <c r="E2442" s="1" t="s">
        <v>8996</v>
      </c>
      <c r="F2442" s="1"/>
      <c r="G2442" s="1">
        <v>612002</v>
      </c>
      <c r="H2442" s="1">
        <v>3.75</v>
      </c>
    </row>
    <row r="2443" spans="1:8" ht="21.75" customHeight="1">
      <c r="A2443" s="1" t="str">
        <f>"1301440002136111"</f>
        <v>1301440002136111</v>
      </c>
      <c r="B2443" s="1" t="s">
        <v>8997</v>
      </c>
      <c r="C2443" s="1" t="s">
        <v>8998</v>
      </c>
      <c r="D2443" s="1" t="s">
        <v>8999</v>
      </c>
      <c r="E2443" s="1" t="s">
        <v>9000</v>
      </c>
      <c r="F2443" s="1" t="s">
        <v>4591</v>
      </c>
      <c r="G2443" s="1">
        <v>613001</v>
      </c>
      <c r="H2443" s="1">
        <v>11.25</v>
      </c>
    </row>
    <row r="2444" spans="1:8" ht="21.75" customHeight="1">
      <c r="A2444" s="1" t="str">
        <f>"IN30039414887987"</f>
        <v>IN30039414887987</v>
      </c>
      <c r="B2444" s="1" t="s">
        <v>9001</v>
      </c>
      <c r="C2444" s="1" t="s">
        <v>9002</v>
      </c>
      <c r="D2444" s="1" t="s">
        <v>9003</v>
      </c>
      <c r="E2444" s="1" t="s">
        <v>9004</v>
      </c>
      <c r="F2444" s="1"/>
      <c r="G2444" s="1">
        <v>613001</v>
      </c>
      <c r="H2444" s="1">
        <v>1.5</v>
      </c>
    </row>
    <row r="2445" spans="1:8" ht="21.75" customHeight="1">
      <c r="A2445" s="1" t="str">
        <f>"IN30039412467689"</f>
        <v>IN30039412467689</v>
      </c>
      <c r="B2445" s="1" t="s">
        <v>9005</v>
      </c>
      <c r="C2445" s="1" t="s">
        <v>9006</v>
      </c>
      <c r="D2445" s="1" t="s">
        <v>9007</v>
      </c>
      <c r="E2445" s="1" t="s">
        <v>9008</v>
      </c>
      <c r="F2445" s="1"/>
      <c r="G2445" s="1">
        <v>613002</v>
      </c>
      <c r="H2445" s="1">
        <v>28.5</v>
      </c>
    </row>
    <row r="2446" spans="1:8" ht="21.75" customHeight="1">
      <c r="A2446" s="1" t="str">
        <f>"1203600001205622"</f>
        <v>1203600001205622</v>
      </c>
      <c r="B2446" s="1" t="s">
        <v>9009</v>
      </c>
      <c r="C2446" s="1" t="s">
        <v>9010</v>
      </c>
      <c r="D2446" s="1" t="s">
        <v>9011</v>
      </c>
      <c r="E2446" s="1" t="s">
        <v>9012</v>
      </c>
      <c r="F2446" s="1" t="s">
        <v>4591</v>
      </c>
      <c r="G2446" s="1">
        <v>614802</v>
      </c>
      <c r="H2446" s="1">
        <v>843.75</v>
      </c>
    </row>
    <row r="2447" spans="1:8" ht="21.75" customHeight="1">
      <c r="A2447" s="1" t="str">
        <f>"1204450000405470"</f>
        <v>1204450000405470</v>
      </c>
      <c r="B2447" s="1" t="s">
        <v>9013</v>
      </c>
      <c r="C2447" s="1" t="s">
        <v>9014</v>
      </c>
      <c r="D2447" s="1" t="s">
        <v>9015</v>
      </c>
      <c r="E2447" s="1" t="s">
        <v>9016</v>
      </c>
      <c r="F2447" s="1" t="s">
        <v>401</v>
      </c>
      <c r="G2447" s="1">
        <v>620003</v>
      </c>
      <c r="H2447" s="1">
        <v>45</v>
      </c>
    </row>
    <row r="2448" spans="1:8" ht="21.75" customHeight="1">
      <c r="A2448" s="1" t="str">
        <f>"IN30108022329869"</f>
        <v>IN30108022329869</v>
      </c>
      <c r="B2448" s="1" t="s">
        <v>9017</v>
      </c>
      <c r="C2448" s="1" t="s">
        <v>9018</v>
      </c>
      <c r="D2448" s="1" t="s">
        <v>9019</v>
      </c>
      <c r="E2448" s="1" t="s">
        <v>9020</v>
      </c>
      <c r="F2448" s="1"/>
      <c r="G2448" s="1">
        <v>621208</v>
      </c>
      <c r="H2448" s="1">
        <v>0.75</v>
      </c>
    </row>
    <row r="2449" spans="1:8" ht="21.75" customHeight="1">
      <c r="A2449" s="1" t="str">
        <f>"1204470000671709"</f>
        <v>1204470000671709</v>
      </c>
      <c r="B2449" s="1" t="s">
        <v>9021</v>
      </c>
      <c r="C2449" s="1" t="s">
        <v>9022</v>
      </c>
      <c r="D2449" s="1" t="s">
        <v>9023</v>
      </c>
      <c r="E2449" s="1"/>
      <c r="F2449" s="1" t="s">
        <v>5026</v>
      </c>
      <c r="G2449" s="1">
        <v>623503</v>
      </c>
      <c r="H2449" s="1">
        <v>262.5</v>
      </c>
    </row>
    <row r="2450" spans="1:8" ht="21.75" customHeight="1">
      <c r="A2450" s="1" t="str">
        <f>"IN30226911843832"</f>
        <v>IN30226911843832</v>
      </c>
      <c r="B2450" s="1" t="s">
        <v>9024</v>
      </c>
      <c r="C2450" s="1" t="s">
        <v>9025</v>
      </c>
      <c r="D2450" s="1" t="s">
        <v>9026</v>
      </c>
      <c r="E2450" s="1" t="s">
        <v>9027</v>
      </c>
      <c r="F2450" s="1"/>
      <c r="G2450" s="1">
        <v>623539</v>
      </c>
      <c r="H2450" s="1">
        <v>75</v>
      </c>
    </row>
    <row r="2451" spans="1:8" ht="21.75" customHeight="1">
      <c r="A2451" s="1" t="str">
        <f>"IN30051319807261"</f>
        <v>IN30051319807261</v>
      </c>
      <c r="B2451" s="1" t="s">
        <v>9028</v>
      </c>
      <c r="C2451" s="1" t="s">
        <v>9029</v>
      </c>
      <c r="D2451" s="1" t="s">
        <v>9030</v>
      </c>
      <c r="E2451" s="1" t="s">
        <v>9031</v>
      </c>
      <c r="F2451" s="1"/>
      <c r="G2451" s="1">
        <v>623707</v>
      </c>
      <c r="H2451" s="1">
        <v>60</v>
      </c>
    </row>
    <row r="2452" spans="1:8" ht="21.75" customHeight="1">
      <c r="A2452" s="1" t="str">
        <f>"1304140006570936"</f>
        <v>1304140006570936</v>
      </c>
      <c r="B2452" s="1" t="s">
        <v>9032</v>
      </c>
      <c r="C2452" s="1" t="s">
        <v>9033</v>
      </c>
      <c r="D2452" s="1" t="s">
        <v>9034</v>
      </c>
      <c r="E2452" s="1" t="s">
        <v>9035</v>
      </c>
      <c r="F2452" s="1" t="s">
        <v>4327</v>
      </c>
      <c r="G2452" s="1">
        <v>624005</v>
      </c>
      <c r="H2452" s="1">
        <v>22.5</v>
      </c>
    </row>
    <row r="2453" spans="1:8" ht="21.75" customHeight="1">
      <c r="A2453" s="1" t="str">
        <f>"IN30163740995240"</f>
        <v>IN30163740995240</v>
      </c>
      <c r="B2453" s="1" t="s">
        <v>9036</v>
      </c>
      <c r="C2453" s="1" t="s">
        <v>9037</v>
      </c>
      <c r="D2453" s="1" t="s">
        <v>9038</v>
      </c>
      <c r="E2453" s="1" t="s">
        <v>9039</v>
      </c>
      <c r="F2453" s="1"/>
      <c r="G2453" s="1">
        <v>624301</v>
      </c>
      <c r="H2453" s="1">
        <v>37.5</v>
      </c>
    </row>
    <row r="2454" spans="1:8" ht="21.75" customHeight="1">
      <c r="A2454" s="1" t="str">
        <f>"IN30169611125168"</f>
        <v>IN30169611125168</v>
      </c>
      <c r="B2454" s="1" t="s">
        <v>9041</v>
      </c>
      <c r="C2454" s="1" t="s">
        <v>9042</v>
      </c>
      <c r="D2454" s="1" t="s">
        <v>9043</v>
      </c>
      <c r="E2454" s="1" t="s">
        <v>9040</v>
      </c>
      <c r="F2454" s="1"/>
      <c r="G2454" s="1">
        <v>624601</v>
      </c>
      <c r="H2454" s="1">
        <v>3</v>
      </c>
    </row>
    <row r="2455" spans="1:8" ht="21.75" customHeight="1">
      <c r="A2455" s="1" t="str">
        <f>"1204760000176751"</f>
        <v>1204760000176751</v>
      </c>
      <c r="B2455" s="1" t="s">
        <v>9044</v>
      </c>
      <c r="C2455" s="1" t="s">
        <v>9045</v>
      </c>
      <c r="D2455" s="1" t="s">
        <v>9046</v>
      </c>
      <c r="E2455" s="1" t="s">
        <v>9047</v>
      </c>
      <c r="F2455" s="1" t="s">
        <v>4327</v>
      </c>
      <c r="G2455" s="1">
        <v>624619</v>
      </c>
      <c r="H2455" s="1">
        <v>210</v>
      </c>
    </row>
    <row r="2456" spans="1:8" ht="21.75" customHeight="1">
      <c r="A2456" s="1" t="str">
        <f>"IN30039417766330"</f>
        <v>IN30039417766330</v>
      </c>
      <c r="B2456" s="1" t="s">
        <v>9048</v>
      </c>
      <c r="C2456" s="1" t="s">
        <v>9049</v>
      </c>
      <c r="D2456" s="1" t="s">
        <v>9050</v>
      </c>
      <c r="E2456" s="1" t="s">
        <v>9051</v>
      </c>
      <c r="F2456" s="1"/>
      <c r="G2456" s="1">
        <v>624702</v>
      </c>
      <c r="H2456" s="1">
        <v>0.75</v>
      </c>
    </row>
    <row r="2457" spans="1:8" ht="21.75" customHeight="1">
      <c r="A2457" s="1" t="str">
        <f>"IN30039416249516"</f>
        <v>IN30039416249516</v>
      </c>
      <c r="B2457" s="1" t="s">
        <v>9052</v>
      </c>
      <c r="C2457" s="1" t="s">
        <v>9053</v>
      </c>
      <c r="D2457" s="1" t="s">
        <v>9054</v>
      </c>
      <c r="E2457" s="1" t="s">
        <v>9055</v>
      </c>
      <c r="F2457" s="1"/>
      <c r="G2457" s="1">
        <v>624709</v>
      </c>
      <c r="H2457" s="1">
        <v>1.5</v>
      </c>
    </row>
    <row r="2458" spans="1:8" ht="21.75" customHeight="1">
      <c r="A2458" s="1" t="str">
        <f>"1204160000020064"</f>
        <v>1204160000020064</v>
      </c>
      <c r="B2458" s="1" t="s">
        <v>9056</v>
      </c>
      <c r="C2458" s="1" t="s">
        <v>9057</v>
      </c>
      <c r="D2458" s="1" t="s">
        <v>9058</v>
      </c>
      <c r="E2458" s="1"/>
      <c r="F2458" s="1" t="s">
        <v>402</v>
      </c>
      <c r="G2458" s="1">
        <v>625001</v>
      </c>
      <c r="H2458" s="1">
        <v>9</v>
      </c>
    </row>
    <row r="2459" spans="1:8" ht="21.75" customHeight="1">
      <c r="A2459" s="1" t="str">
        <f>"IN30021411929823"</f>
        <v>IN30021411929823</v>
      </c>
      <c r="B2459" s="1" t="s">
        <v>9059</v>
      </c>
      <c r="C2459" s="1" t="s">
        <v>9060</v>
      </c>
      <c r="D2459" s="1"/>
      <c r="E2459" s="1" t="s">
        <v>402</v>
      </c>
      <c r="F2459" s="1"/>
      <c r="G2459" s="1">
        <v>625001</v>
      </c>
      <c r="H2459" s="1">
        <v>37.5</v>
      </c>
    </row>
    <row r="2460" spans="1:8" ht="21.75" customHeight="1">
      <c r="A2460" s="1" t="str">
        <f>"IN30051317796292"</f>
        <v>IN30051317796292</v>
      </c>
      <c r="B2460" s="1" t="s">
        <v>9061</v>
      </c>
      <c r="C2460" s="1" t="s">
        <v>9062</v>
      </c>
      <c r="D2460" s="1" t="s">
        <v>9063</v>
      </c>
      <c r="E2460" s="1" t="s">
        <v>9064</v>
      </c>
      <c r="F2460" s="1"/>
      <c r="G2460" s="1">
        <v>625001</v>
      </c>
      <c r="H2460" s="1">
        <v>6</v>
      </c>
    </row>
    <row r="2461" spans="1:8" ht="21.75" customHeight="1">
      <c r="A2461" s="1" t="str">
        <f>"IN30017510119732"</f>
        <v>IN30017510119732</v>
      </c>
      <c r="B2461" s="1" t="s">
        <v>9065</v>
      </c>
      <c r="C2461" s="1" t="s">
        <v>9066</v>
      </c>
      <c r="D2461" s="1" t="s">
        <v>9067</v>
      </c>
      <c r="E2461" s="1" t="s">
        <v>9068</v>
      </c>
      <c r="F2461" s="1"/>
      <c r="G2461" s="1">
        <v>625003</v>
      </c>
      <c r="H2461" s="1">
        <v>9.75</v>
      </c>
    </row>
    <row r="2462" spans="1:8" ht="21.75" customHeight="1">
      <c r="A2462" s="1" t="str">
        <f>"1208870024602966"</f>
        <v>1208870024602966</v>
      </c>
      <c r="B2462" s="1" t="s">
        <v>9069</v>
      </c>
      <c r="C2462" s="1" t="s">
        <v>9070</v>
      </c>
      <c r="D2462" s="1" t="s">
        <v>9071</v>
      </c>
      <c r="E2462" s="1" t="s">
        <v>410</v>
      </c>
      <c r="F2462" s="1" t="s">
        <v>402</v>
      </c>
      <c r="G2462" s="1">
        <v>625016</v>
      </c>
      <c r="H2462" s="1">
        <v>7.5</v>
      </c>
    </row>
    <row r="2463" spans="1:8" ht="21.75" customHeight="1">
      <c r="A2463" s="1" t="str">
        <f>"1202990000993616"</f>
        <v>1202990000993616</v>
      </c>
      <c r="B2463" s="1" t="s">
        <v>9072</v>
      </c>
      <c r="C2463" s="1" t="s">
        <v>9073</v>
      </c>
      <c r="D2463" s="1" t="s">
        <v>9074</v>
      </c>
      <c r="E2463" s="1"/>
      <c r="F2463" s="1" t="s">
        <v>402</v>
      </c>
      <c r="G2463" s="1">
        <v>625106</v>
      </c>
      <c r="H2463" s="1">
        <v>150</v>
      </c>
    </row>
    <row r="2464" spans="1:8" ht="21.75" customHeight="1">
      <c r="A2464" s="1" t="str">
        <f>"IN30177410006343"</f>
        <v>IN30177410006343</v>
      </c>
      <c r="B2464" s="1" t="s">
        <v>9075</v>
      </c>
      <c r="C2464" s="1">
        <v>49</v>
      </c>
      <c r="D2464" s="1" t="s">
        <v>9076</v>
      </c>
      <c r="E2464" s="1" t="s">
        <v>9077</v>
      </c>
      <c r="F2464" s="1"/>
      <c r="G2464" s="1">
        <v>625513</v>
      </c>
      <c r="H2464" s="1">
        <v>138.75</v>
      </c>
    </row>
    <row r="2465" spans="1:8" ht="21.75" customHeight="1">
      <c r="A2465" s="1" t="str">
        <f>"IN30177410483764"</f>
        <v>IN30177410483764</v>
      </c>
      <c r="B2465" s="1" t="s">
        <v>9078</v>
      </c>
      <c r="C2465" s="1" t="s">
        <v>9079</v>
      </c>
      <c r="D2465" s="1" t="s">
        <v>9080</v>
      </c>
      <c r="E2465" s="1" t="s">
        <v>9081</v>
      </c>
      <c r="F2465" s="1"/>
      <c r="G2465" s="1">
        <v>625513</v>
      </c>
      <c r="H2465" s="1">
        <v>7.5</v>
      </c>
    </row>
    <row r="2466" spans="1:8" ht="21.75" customHeight="1">
      <c r="A2466" s="1" t="str">
        <f>"IN30177410667244"</f>
        <v>IN30177410667244</v>
      </c>
      <c r="B2466" s="1" t="s">
        <v>9082</v>
      </c>
      <c r="C2466" s="1" t="s">
        <v>9083</v>
      </c>
      <c r="D2466" s="1" t="s">
        <v>9084</v>
      </c>
      <c r="E2466" s="1" t="s">
        <v>9085</v>
      </c>
      <c r="F2466" s="1"/>
      <c r="G2466" s="1">
        <v>625513</v>
      </c>
      <c r="H2466" s="1">
        <v>75</v>
      </c>
    </row>
    <row r="2467" spans="1:8" ht="21.75" customHeight="1">
      <c r="A2467" s="1" t="str">
        <f>"IN30189510458602"</f>
        <v>IN30189510458602</v>
      </c>
      <c r="B2467" s="1" t="s">
        <v>9086</v>
      </c>
      <c r="C2467" s="1" t="s">
        <v>9087</v>
      </c>
      <c r="D2467" s="1" t="s">
        <v>9088</v>
      </c>
      <c r="E2467" s="1" t="s">
        <v>9089</v>
      </c>
      <c r="F2467" s="1"/>
      <c r="G2467" s="1">
        <v>625515</v>
      </c>
      <c r="H2467" s="1">
        <v>7.5</v>
      </c>
    </row>
    <row r="2468" spans="1:8" ht="21.75" customHeight="1">
      <c r="A2468" s="1" t="str">
        <f>"IN30177410998378"</f>
        <v>IN30177410998378</v>
      </c>
      <c r="B2468" s="1" t="s">
        <v>9090</v>
      </c>
      <c r="C2468" s="1" t="s">
        <v>9091</v>
      </c>
      <c r="D2468" s="1" t="s">
        <v>9092</v>
      </c>
      <c r="E2468" s="1" t="s">
        <v>4677</v>
      </c>
      <c r="F2468" s="1"/>
      <c r="G2468" s="1">
        <v>625517</v>
      </c>
      <c r="H2468" s="1">
        <v>24</v>
      </c>
    </row>
    <row r="2469" spans="1:8" ht="21.75" customHeight="1">
      <c r="A2469" s="1" t="str">
        <f>"IN30089610384229"</f>
        <v>IN30089610384229</v>
      </c>
      <c r="B2469" s="1" t="s">
        <v>9093</v>
      </c>
      <c r="C2469" s="1" t="s">
        <v>9094</v>
      </c>
      <c r="D2469" s="1" t="s">
        <v>4546</v>
      </c>
      <c r="E2469" s="1" t="s">
        <v>9095</v>
      </c>
      <c r="F2469" s="1"/>
      <c r="G2469" s="1">
        <v>625530</v>
      </c>
      <c r="H2469" s="1">
        <v>42</v>
      </c>
    </row>
    <row r="2470" spans="1:8" ht="21.75" customHeight="1">
      <c r="A2470" s="1" t="str">
        <f>"1203350000980562"</f>
        <v>1203350000980562</v>
      </c>
      <c r="B2470" s="1" t="s">
        <v>9096</v>
      </c>
      <c r="C2470" s="1" t="s">
        <v>9097</v>
      </c>
      <c r="D2470" s="1" t="s">
        <v>4683</v>
      </c>
      <c r="E2470" s="1"/>
      <c r="F2470" s="1" t="s">
        <v>4677</v>
      </c>
      <c r="G2470" s="1">
        <v>625531</v>
      </c>
      <c r="H2470" s="1">
        <v>22.5</v>
      </c>
    </row>
    <row r="2471" spans="1:8" ht="21.75" customHeight="1">
      <c r="A2471" s="1" t="str">
        <f>"IN30177410484695"</f>
        <v>IN30177410484695</v>
      </c>
      <c r="B2471" s="1" t="s">
        <v>9098</v>
      </c>
      <c r="C2471" s="1" t="s">
        <v>9099</v>
      </c>
      <c r="D2471" s="1" t="s">
        <v>9100</v>
      </c>
      <c r="E2471" s="1" t="s">
        <v>9101</v>
      </c>
      <c r="F2471" s="1"/>
      <c r="G2471" s="1">
        <v>625531</v>
      </c>
      <c r="H2471" s="1">
        <v>75</v>
      </c>
    </row>
    <row r="2472" spans="1:8" ht="21.75" customHeight="1">
      <c r="A2472" s="1" t="str">
        <f>"IN30177414626657"</f>
        <v>IN30177414626657</v>
      </c>
      <c r="B2472" s="1" t="s">
        <v>9102</v>
      </c>
      <c r="C2472" s="1" t="s">
        <v>9103</v>
      </c>
      <c r="D2472" s="1" t="s">
        <v>9104</v>
      </c>
      <c r="E2472" s="1" t="s">
        <v>9105</v>
      </c>
      <c r="F2472" s="1"/>
      <c r="G2472" s="1">
        <v>625531</v>
      </c>
      <c r="H2472" s="1">
        <v>26.25</v>
      </c>
    </row>
    <row r="2473" spans="1:8" ht="21.75" customHeight="1">
      <c r="A2473" s="1" t="str">
        <f>"IN30177415130161"</f>
        <v>IN30177415130161</v>
      </c>
      <c r="B2473" s="1" t="s">
        <v>9106</v>
      </c>
      <c r="C2473" s="1" t="s">
        <v>9107</v>
      </c>
      <c r="D2473" s="1" t="s">
        <v>9108</v>
      </c>
      <c r="E2473" s="1" t="s">
        <v>9109</v>
      </c>
      <c r="F2473" s="1"/>
      <c r="G2473" s="1">
        <v>625531</v>
      </c>
      <c r="H2473" s="1">
        <v>26.25</v>
      </c>
    </row>
    <row r="2474" spans="1:8" ht="21.75" customHeight="1">
      <c r="A2474" s="1" t="str">
        <f>"IN30177414806810"</f>
        <v>IN30177414806810</v>
      </c>
      <c r="B2474" s="1" t="s">
        <v>9110</v>
      </c>
      <c r="C2474" s="1" t="s">
        <v>9111</v>
      </c>
      <c r="D2474" s="1" t="s">
        <v>9112</v>
      </c>
      <c r="E2474" s="1" t="s">
        <v>9105</v>
      </c>
      <c r="F2474" s="1"/>
      <c r="G2474" s="1">
        <v>625531</v>
      </c>
      <c r="H2474" s="1">
        <v>11.25</v>
      </c>
    </row>
    <row r="2475" spans="1:8" ht="21.75" customHeight="1">
      <c r="A2475" s="1" t="str">
        <f>"IN30023910104105"</f>
        <v>IN30023910104105</v>
      </c>
      <c r="B2475" s="1" t="s">
        <v>9113</v>
      </c>
      <c r="C2475" s="1" t="s">
        <v>9114</v>
      </c>
      <c r="D2475" s="1" t="s">
        <v>9115</v>
      </c>
      <c r="E2475" s="1" t="s">
        <v>9116</v>
      </c>
      <c r="F2475" s="1"/>
      <c r="G2475" s="1">
        <v>625531</v>
      </c>
      <c r="H2475" s="1">
        <v>3.75</v>
      </c>
    </row>
    <row r="2476" spans="1:8" ht="21.75" customHeight="1">
      <c r="A2476" s="1" t="str">
        <f>"IN30051311658975"</f>
        <v>IN30051311658975</v>
      </c>
      <c r="B2476" s="1" t="s">
        <v>9117</v>
      </c>
      <c r="C2476" s="1" t="s">
        <v>9118</v>
      </c>
      <c r="D2476" s="1" t="s">
        <v>4700</v>
      </c>
      <c r="E2476" s="1" t="s">
        <v>3845</v>
      </c>
      <c r="F2476" s="1"/>
      <c r="G2476" s="1">
        <v>626123</v>
      </c>
      <c r="H2476" s="1">
        <v>75</v>
      </c>
    </row>
    <row r="2477" spans="1:8" ht="21.75" customHeight="1">
      <c r="A2477" s="1" t="str">
        <f>"IN30017510250754"</f>
        <v>IN30017510250754</v>
      </c>
      <c r="B2477" s="1" t="s">
        <v>9119</v>
      </c>
      <c r="C2477" s="1" t="s">
        <v>9120</v>
      </c>
      <c r="D2477" s="1" t="s">
        <v>9121</v>
      </c>
      <c r="E2477" s="1" t="s">
        <v>4718</v>
      </c>
      <c r="F2477" s="1"/>
      <c r="G2477" s="1">
        <v>627002</v>
      </c>
      <c r="H2477" s="1">
        <v>1.5</v>
      </c>
    </row>
    <row r="2478" spans="1:8" ht="21.75" customHeight="1">
      <c r="A2478" s="1" t="str">
        <f>"IN30059710106465"</f>
        <v>IN30059710106465</v>
      </c>
      <c r="B2478" s="1" t="s">
        <v>9122</v>
      </c>
      <c r="C2478" s="1" t="s">
        <v>9123</v>
      </c>
      <c r="D2478" s="1" t="s">
        <v>9124</v>
      </c>
      <c r="E2478" s="1" t="s">
        <v>9125</v>
      </c>
      <c r="F2478" s="1"/>
      <c r="G2478" s="1">
        <v>627002</v>
      </c>
      <c r="H2478" s="1">
        <v>0.75</v>
      </c>
    </row>
    <row r="2479" spans="1:8" ht="21.75" customHeight="1">
      <c r="A2479" s="1" t="str">
        <f>"IN30039415791103"</f>
        <v>IN30039415791103</v>
      </c>
      <c r="B2479" s="1" t="s">
        <v>9126</v>
      </c>
      <c r="C2479" s="1" t="s">
        <v>9127</v>
      </c>
      <c r="D2479" s="1" t="s">
        <v>9128</v>
      </c>
      <c r="E2479" s="1" t="s">
        <v>9129</v>
      </c>
      <c r="F2479" s="1"/>
      <c r="G2479" s="1">
        <v>627011</v>
      </c>
      <c r="H2479" s="1">
        <v>7.5</v>
      </c>
    </row>
    <row r="2480" spans="1:8" ht="21.75" customHeight="1">
      <c r="A2480" s="1" t="str">
        <f>"IN30039413508866"</f>
        <v>IN30039413508866</v>
      </c>
      <c r="B2480" s="1" t="s">
        <v>9130</v>
      </c>
      <c r="C2480" s="1" t="s">
        <v>9131</v>
      </c>
      <c r="D2480" s="1" t="s">
        <v>9132</v>
      </c>
      <c r="E2480" s="1" t="s">
        <v>9133</v>
      </c>
      <c r="F2480" s="1"/>
      <c r="G2480" s="1">
        <v>627011</v>
      </c>
      <c r="H2480" s="1">
        <v>2.25</v>
      </c>
    </row>
    <row r="2481" spans="1:8" ht="21.75" customHeight="1">
      <c r="A2481" s="1" t="str">
        <f>"IN30177413488627"</f>
        <v>IN30177413488627</v>
      </c>
      <c r="B2481" s="1" t="s">
        <v>9134</v>
      </c>
      <c r="C2481" s="1" t="s">
        <v>9135</v>
      </c>
      <c r="D2481" s="1" t="s">
        <v>9136</v>
      </c>
      <c r="E2481" s="1" t="s">
        <v>9137</v>
      </c>
      <c r="F2481" s="1"/>
      <c r="G2481" s="1">
        <v>627412</v>
      </c>
      <c r="H2481" s="1">
        <v>37.5</v>
      </c>
    </row>
    <row r="2482" spans="1:8" ht="21.75" customHeight="1">
      <c r="A2482" s="1" t="str">
        <f>"IN30226911645363"</f>
        <v>IN30226911645363</v>
      </c>
      <c r="B2482" s="1" t="s">
        <v>1280</v>
      </c>
      <c r="C2482" s="1" t="s">
        <v>9138</v>
      </c>
      <c r="D2482" s="1" t="s">
        <v>9139</v>
      </c>
      <c r="E2482" s="1" t="s">
        <v>9140</v>
      </c>
      <c r="F2482" s="1"/>
      <c r="G2482" s="1">
        <v>627818</v>
      </c>
      <c r="H2482" s="1">
        <v>75</v>
      </c>
    </row>
    <row r="2483" spans="1:8" ht="21.75" customHeight="1">
      <c r="A2483" s="1" t="str">
        <f>"1204470001425104"</f>
        <v>1204470001425104</v>
      </c>
      <c r="B2483" s="1" t="s">
        <v>9141</v>
      </c>
      <c r="C2483" s="1" t="s">
        <v>9142</v>
      </c>
      <c r="D2483" s="1" t="s">
        <v>9143</v>
      </c>
      <c r="E2483" s="1" t="s">
        <v>9144</v>
      </c>
      <c r="F2483" s="1" t="s">
        <v>9145</v>
      </c>
      <c r="G2483" s="1">
        <v>629002</v>
      </c>
      <c r="H2483" s="1">
        <v>1.5</v>
      </c>
    </row>
    <row r="2484" spans="1:8" ht="21.75" customHeight="1">
      <c r="A2484" s="1" t="str">
        <f>"1202980000050532"</f>
        <v>1202980000050532</v>
      </c>
      <c r="B2484" s="1" t="s">
        <v>9146</v>
      </c>
      <c r="C2484" s="1" t="s">
        <v>9147</v>
      </c>
      <c r="D2484" s="1" t="s">
        <v>9148</v>
      </c>
      <c r="E2484" s="1" t="s">
        <v>9149</v>
      </c>
      <c r="F2484" s="1" t="s">
        <v>410</v>
      </c>
      <c r="G2484" s="1">
        <v>629153</v>
      </c>
      <c r="H2484" s="1">
        <v>30</v>
      </c>
    </row>
    <row r="2485" spans="1:8" ht="21.75" customHeight="1">
      <c r="A2485" s="1" t="str">
        <f>"1202980000254938"</f>
        <v>1202980000254938</v>
      </c>
      <c r="B2485" s="1" t="s">
        <v>9150</v>
      </c>
      <c r="C2485" s="1" t="s">
        <v>9151</v>
      </c>
      <c r="D2485" s="1" t="s">
        <v>9152</v>
      </c>
      <c r="E2485" s="1" t="s">
        <v>9153</v>
      </c>
      <c r="F2485" s="1" t="s">
        <v>9154</v>
      </c>
      <c r="G2485" s="1">
        <v>629161</v>
      </c>
      <c r="H2485" s="1">
        <v>7.5</v>
      </c>
    </row>
    <row r="2486" spans="1:8" ht="21.75" customHeight="1">
      <c r="A2486" s="1" t="str">
        <f>"IN30160410985453"</f>
        <v>IN30160410985453</v>
      </c>
      <c r="B2486" s="1" t="s">
        <v>9155</v>
      </c>
      <c r="C2486" s="1" t="s">
        <v>9156</v>
      </c>
      <c r="D2486" s="1" t="s">
        <v>9157</v>
      </c>
      <c r="E2486" s="1" t="s">
        <v>9158</v>
      </c>
      <c r="F2486" s="1"/>
      <c r="G2486" s="1">
        <v>629163</v>
      </c>
      <c r="H2486" s="1">
        <v>37.5</v>
      </c>
    </row>
    <row r="2487" spans="1:8" ht="21.75" customHeight="1">
      <c r="A2487" s="1" t="str">
        <f>"IN30163740999969"</f>
        <v>IN30163740999969</v>
      </c>
      <c r="B2487" s="1" t="s">
        <v>9159</v>
      </c>
      <c r="C2487" s="1" t="s">
        <v>9160</v>
      </c>
      <c r="D2487" s="1" t="s">
        <v>9161</v>
      </c>
      <c r="E2487" s="1" t="s">
        <v>9162</v>
      </c>
      <c r="F2487" s="1"/>
      <c r="G2487" s="1">
        <v>629302</v>
      </c>
      <c r="H2487" s="1">
        <v>75</v>
      </c>
    </row>
    <row r="2488" spans="1:8" ht="21.75" customHeight="1">
      <c r="A2488" s="1" t="str">
        <f>"1203350001259307"</f>
        <v>1203350001259307</v>
      </c>
      <c r="B2488" s="1" t="s">
        <v>9163</v>
      </c>
      <c r="C2488" s="1" t="s">
        <v>9164</v>
      </c>
      <c r="D2488" s="1" t="s">
        <v>9165</v>
      </c>
      <c r="E2488" s="1" t="s">
        <v>9166</v>
      </c>
      <c r="F2488" s="1" t="s">
        <v>4763</v>
      </c>
      <c r="G2488" s="1">
        <v>629702</v>
      </c>
      <c r="H2488" s="1">
        <v>11.25</v>
      </c>
    </row>
    <row r="2489" spans="1:8" ht="21.75" customHeight="1">
      <c r="A2489" s="1" t="str">
        <f>"IN30177410730734"</f>
        <v>IN30177410730734</v>
      </c>
      <c r="B2489" s="1" t="s">
        <v>9167</v>
      </c>
      <c r="C2489" s="1" t="s">
        <v>9168</v>
      </c>
      <c r="D2489" s="1" t="s">
        <v>9169</v>
      </c>
      <c r="E2489" s="1" t="s">
        <v>9170</v>
      </c>
      <c r="F2489" s="1"/>
      <c r="G2489" s="1">
        <v>630001</v>
      </c>
      <c r="H2489" s="1">
        <v>75</v>
      </c>
    </row>
    <row r="2490" spans="1:8" ht="21.75" customHeight="1">
      <c r="A2490" s="1" t="str">
        <f>"IN30039415957229"</f>
        <v>IN30039415957229</v>
      </c>
      <c r="B2490" s="1" t="s">
        <v>9171</v>
      </c>
      <c r="C2490" s="1" t="s">
        <v>9172</v>
      </c>
      <c r="D2490" s="1" t="s">
        <v>9173</v>
      </c>
      <c r="E2490" s="1" t="s">
        <v>9174</v>
      </c>
      <c r="F2490" s="1"/>
      <c r="G2490" s="1">
        <v>630002</v>
      </c>
      <c r="H2490" s="1">
        <v>285</v>
      </c>
    </row>
    <row r="2491" spans="1:8" ht="21.75" customHeight="1">
      <c r="A2491" s="1" t="str">
        <f>"1201090003424912"</f>
        <v>1201090003424912</v>
      </c>
      <c r="B2491" s="1" t="s">
        <v>9175</v>
      </c>
      <c r="C2491" s="1" t="s">
        <v>9176</v>
      </c>
      <c r="D2491" s="1" t="s">
        <v>9177</v>
      </c>
      <c r="E2491" s="1" t="s">
        <v>9178</v>
      </c>
      <c r="F2491" s="1" t="s">
        <v>9179</v>
      </c>
      <c r="G2491" s="1">
        <v>630306</v>
      </c>
      <c r="H2491" s="1">
        <v>12.75</v>
      </c>
    </row>
    <row r="2492" spans="1:8" ht="21.75" customHeight="1">
      <c r="A2492" s="1" t="str">
        <f>"1202890000984081"</f>
        <v>1202890000984081</v>
      </c>
      <c r="B2492" s="1" t="s">
        <v>9180</v>
      </c>
      <c r="C2492" s="1" t="s">
        <v>9181</v>
      </c>
      <c r="D2492" s="1" t="s">
        <v>4797</v>
      </c>
      <c r="E2492" s="1" t="s">
        <v>9182</v>
      </c>
      <c r="F2492" s="1" t="s">
        <v>9182</v>
      </c>
      <c r="G2492" s="1">
        <v>631209</v>
      </c>
      <c r="H2492" s="1">
        <v>1.5</v>
      </c>
    </row>
    <row r="2493" spans="1:8" ht="21.75" customHeight="1">
      <c r="A2493" s="1" t="str">
        <f>"1204470003505628"</f>
        <v>1204470003505628</v>
      </c>
      <c r="B2493" s="1" t="s">
        <v>9183</v>
      </c>
      <c r="C2493" s="1" t="s">
        <v>9184</v>
      </c>
      <c r="D2493" s="1" t="s">
        <v>9185</v>
      </c>
      <c r="E2493" s="1"/>
      <c r="F2493" s="1" t="s">
        <v>4282</v>
      </c>
      <c r="G2493" s="1">
        <v>631501</v>
      </c>
      <c r="H2493" s="1">
        <v>7.5</v>
      </c>
    </row>
    <row r="2494" spans="1:8" ht="21.75" customHeight="1">
      <c r="A2494" s="1" t="str">
        <f>"IN30177413375004"</f>
        <v>IN30177413375004</v>
      </c>
      <c r="B2494" s="1" t="s">
        <v>9186</v>
      </c>
      <c r="C2494" s="1">
        <v>44</v>
      </c>
      <c r="D2494" s="1" t="s">
        <v>9187</v>
      </c>
      <c r="E2494" s="1" t="s">
        <v>9188</v>
      </c>
      <c r="F2494" s="1"/>
      <c r="G2494" s="1">
        <v>632103</v>
      </c>
      <c r="H2494" s="1">
        <v>0.75</v>
      </c>
    </row>
    <row r="2495" spans="1:8" ht="21.75" customHeight="1">
      <c r="A2495" s="1" t="str">
        <f>"IN30023912367818"</f>
        <v>IN30023912367818</v>
      </c>
      <c r="B2495" s="1" t="s">
        <v>9189</v>
      </c>
      <c r="C2495" s="1" t="s">
        <v>9190</v>
      </c>
      <c r="D2495" s="1" t="s">
        <v>9191</v>
      </c>
      <c r="E2495" s="1" t="s">
        <v>4818</v>
      </c>
      <c r="F2495" s="1"/>
      <c r="G2495" s="1">
        <v>635001</v>
      </c>
      <c r="H2495" s="1">
        <v>300</v>
      </c>
    </row>
    <row r="2496" spans="1:8" ht="21.75" customHeight="1">
      <c r="A2496" s="1" t="str">
        <f>"1204470003469432"</f>
        <v>1204470003469432</v>
      </c>
      <c r="B2496" s="1" t="s">
        <v>9192</v>
      </c>
      <c r="C2496" s="1" t="s">
        <v>9193</v>
      </c>
      <c r="D2496" s="1" t="s">
        <v>9194</v>
      </c>
      <c r="E2496" s="1" t="s">
        <v>1736</v>
      </c>
      <c r="F2496" s="1" t="s">
        <v>4829</v>
      </c>
      <c r="G2496" s="1">
        <v>635109</v>
      </c>
      <c r="H2496" s="1">
        <v>42</v>
      </c>
    </row>
    <row r="2497" spans="1:8" ht="21.75" customHeight="1">
      <c r="A2497" s="1" t="str">
        <f>"1203320001806149"</f>
        <v>1203320001806149</v>
      </c>
      <c r="B2497" s="1" t="s">
        <v>9195</v>
      </c>
      <c r="C2497" s="1" t="s">
        <v>9196</v>
      </c>
      <c r="D2497" s="1" t="s">
        <v>9197</v>
      </c>
      <c r="E2497" s="1" t="s">
        <v>9198</v>
      </c>
      <c r="F2497" s="1" t="s">
        <v>4829</v>
      </c>
      <c r="G2497" s="1">
        <v>635126</v>
      </c>
      <c r="H2497" s="1">
        <v>30</v>
      </c>
    </row>
    <row r="2498" spans="1:8" ht="21.75" customHeight="1">
      <c r="A2498" s="1" t="str">
        <f>"1204470006147566"</f>
        <v>1204470006147566</v>
      </c>
      <c r="B2498" s="1" t="s">
        <v>9199</v>
      </c>
      <c r="C2498" s="1" t="s">
        <v>9200</v>
      </c>
      <c r="D2498" s="1" t="s">
        <v>9201</v>
      </c>
      <c r="E2498" s="1" t="s">
        <v>9202</v>
      </c>
      <c r="F2498" s="1" t="s">
        <v>4829</v>
      </c>
      <c r="G2498" s="1">
        <v>635126</v>
      </c>
      <c r="H2498" s="1">
        <v>75</v>
      </c>
    </row>
    <row r="2499" spans="1:8" ht="21.75" customHeight="1">
      <c r="A2499" s="1" t="str">
        <f>"1204470004809806"</f>
        <v>1204470004809806</v>
      </c>
      <c r="B2499" s="1" t="s">
        <v>9203</v>
      </c>
      <c r="C2499" s="1" t="s">
        <v>9204</v>
      </c>
      <c r="D2499" s="1" t="s">
        <v>9205</v>
      </c>
      <c r="E2499" s="1"/>
      <c r="F2499" s="1" t="s">
        <v>9206</v>
      </c>
      <c r="G2499" s="1">
        <v>635754</v>
      </c>
      <c r="H2499" s="1">
        <v>112.5</v>
      </c>
    </row>
    <row r="2500" spans="1:8" ht="21.75" customHeight="1">
      <c r="A2500" s="1" t="str">
        <f>"IN30017510524720"</f>
        <v>IN30017510524720</v>
      </c>
      <c r="B2500" s="1" t="s">
        <v>9207</v>
      </c>
      <c r="C2500" s="1" t="s">
        <v>9208</v>
      </c>
      <c r="D2500" s="1"/>
      <c r="E2500" s="1" t="s">
        <v>9209</v>
      </c>
      <c r="F2500" s="1"/>
      <c r="G2500" s="1">
        <v>636006</v>
      </c>
      <c r="H2500" s="1">
        <v>18.75</v>
      </c>
    </row>
    <row r="2501" spans="1:8" ht="21.75" customHeight="1">
      <c r="A2501" s="1" t="str">
        <f>"IN30163741459452"</f>
        <v>IN30163741459452</v>
      </c>
      <c r="B2501" s="1" t="s">
        <v>9210</v>
      </c>
      <c r="C2501" s="1" t="s">
        <v>9211</v>
      </c>
      <c r="D2501" s="1" t="s">
        <v>9212</v>
      </c>
      <c r="E2501" s="1" t="s">
        <v>9213</v>
      </c>
      <c r="F2501" s="1"/>
      <c r="G2501" s="1">
        <v>636502</v>
      </c>
      <c r="H2501" s="1">
        <v>1061.25</v>
      </c>
    </row>
    <row r="2502" spans="1:8" ht="21.75" customHeight="1">
      <c r="A2502" s="1" t="str">
        <f>"1203320003761025"</f>
        <v>1203320003761025</v>
      </c>
      <c r="B2502" s="1" t="s">
        <v>9214</v>
      </c>
      <c r="C2502" s="1" t="s">
        <v>9215</v>
      </c>
      <c r="D2502" s="1" t="s">
        <v>9216</v>
      </c>
      <c r="E2502" s="1" t="s">
        <v>417</v>
      </c>
      <c r="F2502" s="1" t="s">
        <v>417</v>
      </c>
      <c r="G2502" s="1">
        <v>637409</v>
      </c>
      <c r="H2502" s="1">
        <v>1.5</v>
      </c>
    </row>
    <row r="2503" spans="1:8" ht="21.75" customHeight="1">
      <c r="A2503" s="1" t="str">
        <f>"IN30226911981372"</f>
        <v>IN30226911981372</v>
      </c>
      <c r="B2503" s="1" t="s">
        <v>9217</v>
      </c>
      <c r="C2503" s="1" t="s">
        <v>9218</v>
      </c>
      <c r="D2503" s="1" t="s">
        <v>9219</v>
      </c>
      <c r="E2503" s="1" t="s">
        <v>9220</v>
      </c>
      <c r="F2503" s="1"/>
      <c r="G2503" s="1">
        <v>638003</v>
      </c>
      <c r="H2503" s="1">
        <v>11.25</v>
      </c>
    </row>
    <row r="2504" spans="1:8" ht="21.75" customHeight="1">
      <c r="A2504" s="1" t="str">
        <f>"1204760000026122"</f>
        <v>1204760000026122</v>
      </c>
      <c r="B2504" s="1" t="s">
        <v>9221</v>
      </c>
      <c r="C2504" s="1" t="s">
        <v>9222</v>
      </c>
      <c r="D2504" s="1" t="s">
        <v>9223</v>
      </c>
      <c r="E2504" s="1" t="s">
        <v>9224</v>
      </c>
      <c r="F2504" s="1" t="s">
        <v>9225</v>
      </c>
      <c r="G2504" s="1">
        <v>638106</v>
      </c>
      <c r="H2504" s="1">
        <v>300</v>
      </c>
    </row>
    <row r="2505" spans="1:8" ht="21.75" customHeight="1">
      <c r="A2505" s="1" t="str">
        <f>"1204760000029351"</f>
        <v>1204760000029351</v>
      </c>
      <c r="B2505" s="1" t="s">
        <v>9226</v>
      </c>
      <c r="C2505" s="1" t="s">
        <v>9227</v>
      </c>
      <c r="D2505" s="1" t="s">
        <v>9228</v>
      </c>
      <c r="E2505" s="1" t="s">
        <v>9229</v>
      </c>
      <c r="F2505" s="1" t="s">
        <v>422</v>
      </c>
      <c r="G2505" s="1">
        <v>638112</v>
      </c>
      <c r="H2505" s="1">
        <v>24</v>
      </c>
    </row>
    <row r="2506" spans="1:8" ht="21.75" customHeight="1">
      <c r="A2506" s="1" t="str">
        <f>"IN30023911451760"</f>
        <v>IN30023911451760</v>
      </c>
      <c r="B2506" s="1" t="s">
        <v>9230</v>
      </c>
      <c r="C2506" s="1" t="s">
        <v>9231</v>
      </c>
      <c r="D2506" s="1" t="s">
        <v>9232</v>
      </c>
      <c r="E2506" s="1" t="s">
        <v>9233</v>
      </c>
      <c r="F2506" s="1"/>
      <c r="G2506" s="1">
        <v>638466</v>
      </c>
      <c r="H2506" s="1">
        <v>30</v>
      </c>
    </row>
    <row r="2507" spans="1:8" ht="21.75" customHeight="1">
      <c r="A2507" s="1" t="str">
        <f>"IN30021412783280"</f>
        <v>IN30021412783280</v>
      </c>
      <c r="B2507" s="1" t="s">
        <v>9234</v>
      </c>
      <c r="C2507" s="1" t="s">
        <v>9235</v>
      </c>
      <c r="D2507" s="1" t="s">
        <v>9236</v>
      </c>
      <c r="E2507" s="1" t="s">
        <v>9237</v>
      </c>
      <c r="F2507" s="1"/>
      <c r="G2507" s="1">
        <v>639001</v>
      </c>
      <c r="H2507" s="1">
        <v>0.75</v>
      </c>
    </row>
    <row r="2508" spans="1:8" ht="21.75" customHeight="1">
      <c r="A2508" s="1" t="str">
        <f>"1204720000140093"</f>
        <v>1204720000140093</v>
      </c>
      <c r="B2508" s="1" t="s">
        <v>9238</v>
      </c>
      <c r="C2508" s="1" t="s">
        <v>9239</v>
      </c>
      <c r="D2508" s="1" t="s">
        <v>9240</v>
      </c>
      <c r="E2508" s="1" t="s">
        <v>9241</v>
      </c>
      <c r="F2508" s="1" t="s">
        <v>4625</v>
      </c>
      <c r="G2508" s="1">
        <v>639113</v>
      </c>
      <c r="H2508" s="1">
        <v>0.75</v>
      </c>
    </row>
    <row r="2509" spans="1:8" ht="21.75" customHeight="1">
      <c r="A2509" s="1" t="str">
        <f>"IN30017510442615"</f>
        <v>IN30017510442615</v>
      </c>
      <c r="B2509" s="1" t="s">
        <v>9242</v>
      </c>
      <c r="C2509" s="1" t="s">
        <v>9243</v>
      </c>
      <c r="D2509" s="1" t="s">
        <v>9244</v>
      </c>
      <c r="E2509" s="1" t="s">
        <v>4625</v>
      </c>
      <c r="F2509" s="1"/>
      <c r="G2509" s="1">
        <v>639136</v>
      </c>
      <c r="H2509" s="1">
        <v>37.5</v>
      </c>
    </row>
    <row r="2510" spans="1:8" ht="21.75" customHeight="1">
      <c r="A2510" s="1" t="str">
        <f>"IN30051317705516"</f>
        <v>IN30051317705516</v>
      </c>
      <c r="B2510" s="1" t="s">
        <v>9245</v>
      </c>
      <c r="C2510" s="1" t="s">
        <v>9246</v>
      </c>
      <c r="D2510" s="1" t="s">
        <v>9247</v>
      </c>
      <c r="E2510" s="1" t="s">
        <v>9248</v>
      </c>
      <c r="F2510" s="1"/>
      <c r="G2510" s="1">
        <v>641004</v>
      </c>
      <c r="H2510" s="1">
        <v>7.5</v>
      </c>
    </row>
    <row r="2511" spans="1:8" ht="21.75" customHeight="1">
      <c r="A2511" s="1" t="str">
        <f>"IN30169611646030"</f>
        <v>IN30169611646030</v>
      </c>
      <c r="B2511" s="1" t="s">
        <v>9249</v>
      </c>
      <c r="C2511" s="1" t="s">
        <v>9250</v>
      </c>
      <c r="D2511" s="1" t="s">
        <v>9251</v>
      </c>
      <c r="E2511" s="1" t="s">
        <v>9252</v>
      </c>
      <c r="F2511" s="1"/>
      <c r="G2511" s="1">
        <v>641006</v>
      </c>
      <c r="H2511" s="1">
        <v>9.5</v>
      </c>
    </row>
    <row r="2512" spans="1:8" ht="21.75" customHeight="1">
      <c r="A2512" s="1" t="str">
        <f>"IN30011811278903"</f>
        <v>IN30011811278903</v>
      </c>
      <c r="B2512" s="1" t="s">
        <v>9253</v>
      </c>
      <c r="C2512" s="1">
        <v>406</v>
      </c>
      <c r="D2512" s="1"/>
      <c r="E2512" s="1" t="s">
        <v>9254</v>
      </c>
      <c r="F2512" s="1"/>
      <c r="G2512" s="1">
        <v>641012</v>
      </c>
      <c r="H2512" s="1">
        <v>37.5</v>
      </c>
    </row>
    <row r="2513" spans="1:8" ht="21.75" customHeight="1">
      <c r="A2513" s="1" t="str">
        <f>"000641"</f>
        <v>000641</v>
      </c>
      <c r="B2513" s="1" t="s">
        <v>9255</v>
      </c>
      <c r="C2513" s="1" t="s">
        <v>9256</v>
      </c>
      <c r="D2513" s="1" t="s">
        <v>753</v>
      </c>
      <c r="E2513" s="1" t="s">
        <v>9257</v>
      </c>
      <c r="F2513" s="1" t="s">
        <v>33</v>
      </c>
      <c r="G2513" s="1">
        <v>641018</v>
      </c>
      <c r="H2513" s="1">
        <v>1200</v>
      </c>
    </row>
    <row r="2514" spans="1:8" ht="21.75" customHeight="1">
      <c r="A2514" s="1" t="str">
        <f>"IN30177413896421"</f>
        <v>IN30177413896421</v>
      </c>
      <c r="B2514" s="1" t="s">
        <v>9258</v>
      </c>
      <c r="C2514" s="1" t="s">
        <v>9259</v>
      </c>
      <c r="D2514" s="1" t="s">
        <v>9260</v>
      </c>
      <c r="E2514" s="1" t="s">
        <v>9261</v>
      </c>
      <c r="F2514" s="1"/>
      <c r="G2514" s="1">
        <v>641025</v>
      </c>
      <c r="H2514" s="1">
        <v>7.5</v>
      </c>
    </row>
    <row r="2515" spans="1:8" ht="21.75" customHeight="1">
      <c r="A2515" s="1" t="str">
        <f>"IN30051320754841"</f>
        <v>IN30051320754841</v>
      </c>
      <c r="B2515" s="1" t="s">
        <v>9262</v>
      </c>
      <c r="C2515" s="1" t="s">
        <v>9263</v>
      </c>
      <c r="D2515" s="1" t="s">
        <v>9264</v>
      </c>
      <c r="E2515" s="1" t="s">
        <v>5001</v>
      </c>
      <c r="F2515" s="1"/>
      <c r="G2515" s="1">
        <v>641035</v>
      </c>
      <c r="H2515" s="1">
        <v>7.5</v>
      </c>
    </row>
    <row r="2516" spans="1:8" ht="21.75" customHeight="1">
      <c r="A2516" s="1" t="str">
        <f>"IN30232410990655"</f>
        <v>IN30232410990655</v>
      </c>
      <c r="B2516" s="1" t="s">
        <v>9265</v>
      </c>
      <c r="C2516" s="1" t="s">
        <v>9266</v>
      </c>
      <c r="D2516" s="1" t="s">
        <v>9267</v>
      </c>
      <c r="E2516" s="1" t="s">
        <v>9268</v>
      </c>
      <c r="F2516" s="1"/>
      <c r="G2516" s="1">
        <v>641038</v>
      </c>
      <c r="H2516" s="1">
        <v>7.5</v>
      </c>
    </row>
    <row r="2517" spans="1:8" ht="21.75" customHeight="1">
      <c r="A2517" s="1" t="str">
        <f>"IN30023912873237"</f>
        <v>IN30023912873237</v>
      </c>
      <c r="B2517" s="1" t="s">
        <v>9269</v>
      </c>
      <c r="C2517" s="1" t="s">
        <v>9270</v>
      </c>
      <c r="D2517" s="1" t="s">
        <v>9271</v>
      </c>
      <c r="E2517" s="1" t="s">
        <v>9272</v>
      </c>
      <c r="F2517" s="1"/>
      <c r="G2517" s="1">
        <v>641111</v>
      </c>
      <c r="H2517" s="1">
        <v>3</v>
      </c>
    </row>
    <row r="2518" spans="1:8" ht="21.75" customHeight="1">
      <c r="A2518" s="1" t="str">
        <f>"1207600000042445"</f>
        <v>1207600000042445</v>
      </c>
      <c r="B2518" s="1" t="s">
        <v>9273</v>
      </c>
      <c r="C2518" s="1" t="s">
        <v>9274</v>
      </c>
      <c r="D2518" s="1" t="s">
        <v>9275</v>
      </c>
      <c r="E2518" s="1" t="s">
        <v>9276</v>
      </c>
      <c r="F2518" s="1" t="s">
        <v>4957</v>
      </c>
      <c r="G2518" s="1">
        <v>641603</v>
      </c>
      <c r="H2518" s="1">
        <v>15</v>
      </c>
    </row>
    <row r="2519" spans="1:8" ht="21.75" customHeight="1">
      <c r="A2519" s="1" t="str">
        <f>"1201090012592156"</f>
        <v>1201090012592156</v>
      </c>
      <c r="B2519" s="1" t="s">
        <v>9277</v>
      </c>
      <c r="C2519" s="1" t="s">
        <v>9278</v>
      </c>
      <c r="D2519" s="1" t="s">
        <v>33</v>
      </c>
      <c r="E2519" s="1"/>
      <c r="F2519" s="1" t="s">
        <v>9279</v>
      </c>
      <c r="G2519" s="1">
        <v>642001</v>
      </c>
      <c r="H2519" s="1">
        <v>450.75</v>
      </c>
    </row>
    <row r="2520" spans="1:8" ht="21.75" customHeight="1">
      <c r="A2520" s="1" t="str">
        <f>"IN30021412250425"</f>
        <v>IN30021412250425</v>
      </c>
      <c r="B2520" s="1" t="s">
        <v>9280</v>
      </c>
      <c r="C2520" s="1" t="s">
        <v>9281</v>
      </c>
      <c r="D2520" s="1" t="s">
        <v>9279</v>
      </c>
      <c r="E2520" s="1" t="s">
        <v>9282</v>
      </c>
      <c r="F2520" s="1"/>
      <c r="G2520" s="1">
        <v>642123</v>
      </c>
      <c r="H2520" s="1">
        <v>34.5</v>
      </c>
    </row>
    <row r="2521" spans="1:8" ht="21.75" customHeight="1">
      <c r="A2521" s="1" t="str">
        <f>"IN30039418530330"</f>
        <v>IN30039418530330</v>
      </c>
      <c r="B2521" s="1" t="s">
        <v>9283</v>
      </c>
      <c r="C2521" s="1" t="s">
        <v>9284</v>
      </c>
      <c r="D2521" s="1" t="s">
        <v>9285</v>
      </c>
      <c r="E2521" s="1" t="s">
        <v>9286</v>
      </c>
      <c r="F2521" s="1"/>
      <c r="G2521" s="1">
        <v>642126</v>
      </c>
      <c r="H2521" s="1">
        <v>7.5</v>
      </c>
    </row>
    <row r="2522" spans="1:8" ht="21.75" customHeight="1">
      <c r="A2522" s="1" t="str">
        <f>"1204720010266584"</f>
        <v>1204720010266584</v>
      </c>
      <c r="B2522" s="1" t="s">
        <v>9287</v>
      </c>
      <c r="C2522" s="1" t="s">
        <v>9288</v>
      </c>
      <c r="D2522" s="1" t="s">
        <v>9289</v>
      </c>
      <c r="E2522" s="1" t="s">
        <v>410</v>
      </c>
      <c r="F2522" s="1" t="s">
        <v>3789</v>
      </c>
      <c r="G2522" s="1">
        <v>643211</v>
      </c>
      <c r="H2522" s="1">
        <v>105</v>
      </c>
    </row>
    <row r="2523" spans="1:8" ht="21.75" customHeight="1">
      <c r="A2523" s="1" t="str">
        <f>"IN30163741023203"</f>
        <v>IN30163741023203</v>
      </c>
      <c r="B2523" s="1" t="s">
        <v>9290</v>
      </c>
      <c r="C2523" s="1" t="s">
        <v>9291</v>
      </c>
      <c r="D2523" s="1" t="s">
        <v>9292</v>
      </c>
      <c r="E2523" s="1" t="s">
        <v>9293</v>
      </c>
      <c r="F2523" s="1"/>
      <c r="G2523" s="1">
        <v>643231</v>
      </c>
      <c r="H2523" s="1">
        <v>750</v>
      </c>
    </row>
    <row r="2524" spans="1:8" ht="21.75" customHeight="1">
      <c r="A2524" s="1" t="str">
        <f>"IN30039416196246"</f>
        <v>IN30039416196246</v>
      </c>
      <c r="B2524" s="1" t="s">
        <v>9294</v>
      </c>
      <c r="C2524" s="1" t="s">
        <v>9295</v>
      </c>
      <c r="D2524" s="1"/>
      <c r="E2524" s="1" t="s">
        <v>9296</v>
      </c>
      <c r="F2524" s="1"/>
      <c r="G2524" s="1">
        <v>643232</v>
      </c>
      <c r="H2524" s="1">
        <v>375</v>
      </c>
    </row>
    <row r="2525" spans="1:8" ht="21.75" customHeight="1">
      <c r="A2525" s="1" t="str">
        <f>"IN30023910745822"</f>
        <v>IN30023910745822</v>
      </c>
      <c r="B2525" s="1" t="s">
        <v>9297</v>
      </c>
      <c r="C2525" s="1" t="s">
        <v>9298</v>
      </c>
      <c r="D2525" s="1" t="s">
        <v>9299</v>
      </c>
      <c r="E2525" s="1" t="s">
        <v>9300</v>
      </c>
      <c r="F2525" s="1"/>
      <c r="G2525" s="1">
        <v>670002</v>
      </c>
      <c r="H2525" s="1">
        <v>100.5</v>
      </c>
    </row>
    <row r="2526" spans="1:8" ht="21.75" customHeight="1">
      <c r="A2526" s="1" t="str">
        <f>"1204450000085885"</f>
        <v>1204450000085885</v>
      </c>
      <c r="B2526" s="1" t="s">
        <v>9301</v>
      </c>
      <c r="C2526" s="1" t="s">
        <v>9302</v>
      </c>
      <c r="D2526" s="1" t="s">
        <v>9303</v>
      </c>
      <c r="E2526" s="1" t="s">
        <v>9304</v>
      </c>
      <c r="F2526" s="1" t="s">
        <v>5039</v>
      </c>
      <c r="G2526" s="1">
        <v>670006</v>
      </c>
      <c r="H2526" s="1">
        <v>19.5</v>
      </c>
    </row>
    <row r="2527" spans="1:8" ht="21.75" customHeight="1">
      <c r="A2527" s="1" t="str">
        <f>"IN30189510213158"</f>
        <v>IN30189510213158</v>
      </c>
      <c r="B2527" s="1" t="s">
        <v>9305</v>
      </c>
      <c r="C2527" s="1" t="s">
        <v>9306</v>
      </c>
      <c r="D2527" s="1" t="s">
        <v>9307</v>
      </c>
      <c r="E2527" s="1" t="s">
        <v>9308</v>
      </c>
      <c r="F2527" s="1"/>
      <c r="G2527" s="1">
        <v>670006</v>
      </c>
      <c r="H2527" s="1">
        <v>24.75</v>
      </c>
    </row>
    <row r="2528" spans="1:8" ht="21.75" customHeight="1">
      <c r="A2528" s="1" t="str">
        <f>"1204450000172976"</f>
        <v>1204450000172976</v>
      </c>
      <c r="B2528" s="1" t="s">
        <v>9309</v>
      </c>
      <c r="C2528" s="1" t="s">
        <v>9310</v>
      </c>
      <c r="D2528" s="1" t="s">
        <v>9311</v>
      </c>
      <c r="E2528" s="1"/>
      <c r="F2528" s="1" t="s">
        <v>5039</v>
      </c>
      <c r="G2528" s="1">
        <v>670007</v>
      </c>
      <c r="H2528" s="1">
        <v>75</v>
      </c>
    </row>
    <row r="2529" spans="1:8" ht="21.75" customHeight="1">
      <c r="A2529" s="1" t="str">
        <f>"IN30023913417296"</f>
        <v>IN30023913417296</v>
      </c>
      <c r="B2529" s="1" t="s">
        <v>9312</v>
      </c>
      <c r="C2529" s="1" t="s">
        <v>9313</v>
      </c>
      <c r="D2529" s="1" t="s">
        <v>9314</v>
      </c>
      <c r="E2529" s="1" t="s">
        <v>9315</v>
      </c>
      <c r="F2529" s="1"/>
      <c r="G2529" s="1">
        <v>670009</v>
      </c>
      <c r="H2529" s="1">
        <v>3.75</v>
      </c>
    </row>
    <row r="2530" spans="1:8" ht="21.75" customHeight="1">
      <c r="A2530" s="1" t="str">
        <f>"1205670000132652"</f>
        <v>1205670000132652</v>
      </c>
      <c r="B2530" s="1" t="s">
        <v>9316</v>
      </c>
      <c r="C2530" s="1" t="s">
        <v>9317</v>
      </c>
      <c r="D2530" s="1" t="s">
        <v>9318</v>
      </c>
      <c r="E2530" s="1" t="s">
        <v>9319</v>
      </c>
      <c r="F2530" s="1" t="s">
        <v>5039</v>
      </c>
      <c r="G2530" s="1">
        <v>670014</v>
      </c>
      <c r="H2530" s="1">
        <v>7.5</v>
      </c>
    </row>
    <row r="2531" spans="1:8" ht="21.75" customHeight="1">
      <c r="A2531" s="1" t="str">
        <f>"1204450000083191"</f>
        <v>1204450000083191</v>
      </c>
      <c r="B2531" s="1" t="s">
        <v>9320</v>
      </c>
      <c r="C2531" s="1" t="s">
        <v>9321</v>
      </c>
      <c r="D2531" s="1" t="s">
        <v>9322</v>
      </c>
      <c r="E2531" s="1"/>
      <c r="F2531" s="1" t="s">
        <v>5039</v>
      </c>
      <c r="G2531" s="1">
        <v>670018</v>
      </c>
      <c r="H2531" s="1">
        <v>145.5</v>
      </c>
    </row>
    <row r="2532" spans="1:8" ht="21.75" customHeight="1">
      <c r="A2532" s="1" t="str">
        <f>"IN30039417888679"</f>
        <v>IN30039417888679</v>
      </c>
      <c r="B2532" s="1" t="s">
        <v>9323</v>
      </c>
      <c r="C2532" s="1" t="s">
        <v>9324</v>
      </c>
      <c r="D2532" s="1" t="s">
        <v>374</v>
      </c>
      <c r="E2532" s="1" t="s">
        <v>9325</v>
      </c>
      <c r="F2532" s="1"/>
      <c r="G2532" s="1">
        <v>670101</v>
      </c>
      <c r="H2532" s="1">
        <v>30</v>
      </c>
    </row>
    <row r="2533" spans="1:8" ht="21.75" customHeight="1">
      <c r="A2533" s="1" t="str">
        <f>"1201090012632969"</f>
        <v>1201090012632969</v>
      </c>
      <c r="B2533" s="1" t="s">
        <v>9327</v>
      </c>
      <c r="C2533" s="1" t="s">
        <v>9328</v>
      </c>
      <c r="D2533" s="1" t="s">
        <v>9329</v>
      </c>
      <c r="E2533" s="1" t="s">
        <v>9330</v>
      </c>
      <c r="F2533" s="1" t="s">
        <v>5039</v>
      </c>
      <c r="G2533" s="1">
        <v>670102</v>
      </c>
      <c r="H2533" s="1">
        <v>25.5</v>
      </c>
    </row>
    <row r="2534" spans="1:8" ht="21.75" customHeight="1">
      <c r="A2534" s="1" t="str">
        <f>"1201330000549713"</f>
        <v>1201330000549713</v>
      </c>
      <c r="B2534" s="1" t="s">
        <v>9331</v>
      </c>
      <c r="C2534" s="1" t="s">
        <v>9332</v>
      </c>
      <c r="D2534" s="1" t="s">
        <v>9333</v>
      </c>
      <c r="E2534" s="1" t="s">
        <v>9334</v>
      </c>
      <c r="F2534" s="1" t="s">
        <v>9334</v>
      </c>
      <c r="G2534" s="1">
        <v>670107</v>
      </c>
      <c r="H2534" s="1">
        <v>150</v>
      </c>
    </row>
    <row r="2535" spans="1:8" ht="21.75" customHeight="1">
      <c r="A2535" s="1" t="str">
        <f>"IN30021414039014"</f>
        <v>IN30021414039014</v>
      </c>
      <c r="B2535" s="1" t="s">
        <v>9335</v>
      </c>
      <c r="C2535" s="1" t="s">
        <v>9336</v>
      </c>
      <c r="D2535" s="1" t="s">
        <v>9337</v>
      </c>
      <c r="E2535" s="1" t="s">
        <v>9338</v>
      </c>
      <c r="F2535" s="1"/>
      <c r="G2535" s="1">
        <v>670141</v>
      </c>
      <c r="H2535" s="1">
        <v>41.25</v>
      </c>
    </row>
    <row r="2536" spans="1:8" ht="21.75" customHeight="1">
      <c r="A2536" s="1" t="str">
        <f>"IN30023912924485"</f>
        <v>IN30023912924485</v>
      </c>
      <c r="B2536" s="1" t="s">
        <v>9339</v>
      </c>
      <c r="C2536" s="1" t="s">
        <v>9340</v>
      </c>
      <c r="D2536" s="1" t="s">
        <v>9341</v>
      </c>
      <c r="E2536" s="1" t="s">
        <v>9342</v>
      </c>
      <c r="F2536" s="1"/>
      <c r="G2536" s="1">
        <v>670307</v>
      </c>
      <c r="H2536" s="1">
        <v>90</v>
      </c>
    </row>
    <row r="2537" spans="1:8" ht="21.75" customHeight="1">
      <c r="A2537" s="1" t="str">
        <f>"1205670000062788"</f>
        <v>1205670000062788</v>
      </c>
      <c r="B2537" s="1" t="s">
        <v>9343</v>
      </c>
      <c r="C2537" s="1" t="s">
        <v>9344</v>
      </c>
      <c r="D2537" s="1" t="s">
        <v>9345</v>
      </c>
      <c r="E2537" s="1" t="s">
        <v>9346</v>
      </c>
      <c r="F2537" s="1" t="s">
        <v>9347</v>
      </c>
      <c r="G2537" s="1">
        <v>670307</v>
      </c>
      <c r="H2537" s="1">
        <v>27</v>
      </c>
    </row>
    <row r="2538" spans="1:8" ht="21.75" customHeight="1">
      <c r="A2538" s="1" t="str">
        <f>"1205670000408592"</f>
        <v>1205670000408592</v>
      </c>
      <c r="B2538" s="1" t="s">
        <v>9348</v>
      </c>
      <c r="C2538" s="1" t="s">
        <v>9349</v>
      </c>
      <c r="D2538" s="1" t="s">
        <v>9350</v>
      </c>
      <c r="E2538" s="1"/>
      <c r="F2538" s="1" t="s">
        <v>5039</v>
      </c>
      <c r="G2538" s="1">
        <v>670308</v>
      </c>
      <c r="H2538" s="1">
        <v>48.75</v>
      </c>
    </row>
    <row r="2539" spans="1:8" ht="21.75" customHeight="1">
      <c r="A2539" s="1" t="str">
        <f>"1202390000204318"</f>
        <v>1202390000204318</v>
      </c>
      <c r="B2539" s="1" t="s">
        <v>9351</v>
      </c>
      <c r="C2539" s="1" t="s">
        <v>9352</v>
      </c>
      <c r="D2539" s="1" t="s">
        <v>9353</v>
      </c>
      <c r="E2539" s="1"/>
      <c r="F2539" s="1" t="s">
        <v>5039</v>
      </c>
      <c r="G2539" s="1">
        <v>670521</v>
      </c>
      <c r="H2539" s="1">
        <v>525</v>
      </c>
    </row>
    <row r="2540" spans="1:8" ht="21.75" customHeight="1">
      <c r="A2540" s="1" t="str">
        <f>"1201090012650469"</f>
        <v>1201090012650469</v>
      </c>
      <c r="B2540" s="1" t="s">
        <v>9354</v>
      </c>
      <c r="C2540" s="1" t="s">
        <v>9355</v>
      </c>
      <c r="D2540" s="1" t="s">
        <v>9356</v>
      </c>
      <c r="E2540" s="1" t="s">
        <v>9357</v>
      </c>
      <c r="F2540" s="1" t="s">
        <v>5039</v>
      </c>
      <c r="G2540" s="1">
        <v>670567</v>
      </c>
      <c r="H2540" s="1">
        <v>37.5</v>
      </c>
    </row>
    <row r="2541" spans="1:8" ht="21.75" customHeight="1">
      <c r="A2541" s="1" t="str">
        <f>"IN30089610450284"</f>
        <v>IN30089610450284</v>
      </c>
      <c r="B2541" s="1" t="s">
        <v>9358</v>
      </c>
      <c r="C2541" s="1" t="s">
        <v>9359</v>
      </c>
      <c r="D2541" s="1" t="s">
        <v>9360</v>
      </c>
      <c r="E2541" s="1" t="s">
        <v>5257</v>
      </c>
      <c r="F2541" s="1"/>
      <c r="G2541" s="1">
        <v>670571</v>
      </c>
      <c r="H2541" s="1">
        <v>116.25</v>
      </c>
    </row>
    <row r="2542" spans="1:8" ht="21.75" customHeight="1">
      <c r="A2542" s="1" t="str">
        <f>"1202390000198356"</f>
        <v>1202390000198356</v>
      </c>
      <c r="B2542" s="1" t="s">
        <v>9362</v>
      </c>
      <c r="C2542" s="1" t="s">
        <v>9363</v>
      </c>
      <c r="D2542" s="1" t="s">
        <v>9364</v>
      </c>
      <c r="E2542" s="1"/>
      <c r="F2542" s="1" t="s">
        <v>9365</v>
      </c>
      <c r="G2542" s="1">
        <v>670581</v>
      </c>
      <c r="H2542" s="1">
        <v>6.75</v>
      </c>
    </row>
    <row r="2543" spans="1:8" ht="21.75" customHeight="1">
      <c r="A2543" s="1" t="str">
        <f>"IN30023912122079"</f>
        <v>IN30023912122079</v>
      </c>
      <c r="B2543" s="1" t="s">
        <v>9366</v>
      </c>
      <c r="C2543" s="1" t="s">
        <v>9367</v>
      </c>
      <c r="D2543" s="1" t="s">
        <v>9368</v>
      </c>
      <c r="E2543" s="1" t="s">
        <v>5039</v>
      </c>
      <c r="F2543" s="1"/>
      <c r="G2543" s="1">
        <v>670591</v>
      </c>
      <c r="H2543" s="1">
        <v>150</v>
      </c>
    </row>
    <row r="2544" spans="1:8" ht="21.75" customHeight="1">
      <c r="A2544" s="1" t="str">
        <f>"1204470006241789"</f>
        <v>1204470006241789</v>
      </c>
      <c r="B2544" s="1" t="s">
        <v>9369</v>
      </c>
      <c r="C2544" s="1" t="s">
        <v>9370</v>
      </c>
      <c r="D2544" s="1" t="s">
        <v>9371</v>
      </c>
      <c r="E2544" s="1" t="s">
        <v>9372</v>
      </c>
      <c r="F2544" s="1" t="s">
        <v>5039</v>
      </c>
      <c r="G2544" s="1">
        <v>670597</v>
      </c>
      <c r="H2544" s="1">
        <v>30</v>
      </c>
    </row>
    <row r="2545" spans="1:8" ht="21.75" customHeight="1">
      <c r="A2545" s="1" t="str">
        <f>"1201090012696624"</f>
        <v>1201090012696624</v>
      </c>
      <c r="B2545" s="1" t="s">
        <v>9373</v>
      </c>
      <c r="C2545" s="1" t="s">
        <v>9374</v>
      </c>
      <c r="D2545" s="1" t="s">
        <v>9375</v>
      </c>
      <c r="E2545" s="1" t="s">
        <v>9376</v>
      </c>
      <c r="F2545" s="1" t="s">
        <v>5039</v>
      </c>
      <c r="G2545" s="1">
        <v>670601</v>
      </c>
      <c r="H2545" s="1">
        <v>7.5</v>
      </c>
    </row>
    <row r="2546" spans="1:8" ht="21.75" customHeight="1">
      <c r="A2546" s="1" t="str">
        <f>"IN30023911480435"</f>
        <v>IN30023911480435</v>
      </c>
      <c r="B2546" s="1" t="s">
        <v>9377</v>
      </c>
      <c r="C2546" s="1" t="s">
        <v>9378</v>
      </c>
      <c r="D2546" s="1" t="s">
        <v>9379</v>
      </c>
      <c r="E2546" s="1" t="s">
        <v>9380</v>
      </c>
      <c r="F2546" s="1"/>
      <c r="G2546" s="1">
        <v>670631</v>
      </c>
      <c r="H2546" s="1">
        <v>37.5</v>
      </c>
    </row>
    <row r="2547" spans="1:8" ht="21.75" customHeight="1">
      <c r="A2547" s="1" t="str">
        <f>"1204470006117649"</f>
        <v>1204470006117649</v>
      </c>
      <c r="B2547" s="1" t="s">
        <v>9381</v>
      </c>
      <c r="C2547" s="1" t="s">
        <v>9382</v>
      </c>
      <c r="D2547" s="1" t="s">
        <v>9383</v>
      </c>
      <c r="E2547" s="1" t="s">
        <v>9384</v>
      </c>
      <c r="F2547" s="1" t="s">
        <v>9385</v>
      </c>
      <c r="G2547" s="1">
        <v>670632</v>
      </c>
      <c r="H2547" s="1">
        <v>165.75</v>
      </c>
    </row>
    <row r="2548" spans="1:8" ht="21.75" customHeight="1">
      <c r="A2548" s="1" t="str">
        <f>"1201090012866314"</f>
        <v>1201090012866314</v>
      </c>
      <c r="B2548" s="1" t="s">
        <v>9386</v>
      </c>
      <c r="C2548" s="1" t="s">
        <v>9387</v>
      </c>
      <c r="D2548" s="1" t="s">
        <v>9388</v>
      </c>
      <c r="E2548" s="1"/>
      <c r="F2548" s="1" t="s">
        <v>5039</v>
      </c>
      <c r="G2548" s="1">
        <v>670642</v>
      </c>
      <c r="H2548" s="1">
        <v>7.5</v>
      </c>
    </row>
    <row r="2549" spans="1:8" ht="21.75" customHeight="1">
      <c r="A2549" s="1" t="str">
        <f>"IN30181110149999"</f>
        <v>IN30181110149999</v>
      </c>
      <c r="B2549" s="1" t="s">
        <v>9389</v>
      </c>
      <c r="C2549" s="1" t="s">
        <v>9390</v>
      </c>
      <c r="D2549" s="1" t="s">
        <v>9391</v>
      </c>
      <c r="E2549" s="1" t="s">
        <v>9326</v>
      </c>
      <c r="F2549" s="1"/>
      <c r="G2549" s="1">
        <v>670642</v>
      </c>
      <c r="H2549" s="1">
        <v>37.5</v>
      </c>
    </row>
    <row r="2550" spans="1:8" ht="21.75" customHeight="1">
      <c r="A2550" s="1" t="str">
        <f>"1201090012679178"</f>
        <v>1201090012679178</v>
      </c>
      <c r="B2550" s="1" t="s">
        <v>9392</v>
      </c>
      <c r="C2550" s="1" t="s">
        <v>9393</v>
      </c>
      <c r="D2550" s="1" t="s">
        <v>9394</v>
      </c>
      <c r="E2550" s="1"/>
      <c r="F2550" s="1" t="s">
        <v>5039</v>
      </c>
      <c r="G2550" s="1">
        <v>670643</v>
      </c>
      <c r="H2550" s="1">
        <v>66.75</v>
      </c>
    </row>
    <row r="2551" spans="1:8" ht="21.75" customHeight="1">
      <c r="A2551" s="1" t="str">
        <f>"IN30023912807544"</f>
        <v>IN30023912807544</v>
      </c>
      <c r="B2551" s="1" t="s">
        <v>9395</v>
      </c>
      <c r="C2551" s="1" t="s">
        <v>9396</v>
      </c>
      <c r="D2551" s="1" t="s">
        <v>9397</v>
      </c>
      <c r="E2551" s="1" t="s">
        <v>9398</v>
      </c>
      <c r="F2551" s="1"/>
      <c r="G2551" s="1">
        <v>670646</v>
      </c>
      <c r="H2551" s="1">
        <v>15</v>
      </c>
    </row>
    <row r="2552" spans="1:8" ht="21.75" customHeight="1">
      <c r="A2552" s="1" t="str">
        <f>"IN30023910954345"</f>
        <v>IN30023910954345</v>
      </c>
      <c r="B2552" s="1" t="s">
        <v>9399</v>
      </c>
      <c r="C2552" s="1" t="s">
        <v>9400</v>
      </c>
      <c r="D2552" s="1" t="s">
        <v>9401</v>
      </c>
      <c r="E2552" s="1" t="s">
        <v>9326</v>
      </c>
      <c r="F2552" s="1"/>
      <c r="G2552" s="1">
        <v>670649</v>
      </c>
      <c r="H2552" s="1">
        <v>7.5</v>
      </c>
    </row>
    <row r="2553" spans="1:8" ht="21.75" customHeight="1">
      <c r="A2553" s="1" t="str">
        <f>"IN30181110151488"</f>
        <v>IN30181110151488</v>
      </c>
      <c r="B2553" s="1" t="s">
        <v>9402</v>
      </c>
      <c r="C2553" s="1" t="s">
        <v>9403</v>
      </c>
      <c r="D2553" s="1" t="s">
        <v>9404</v>
      </c>
      <c r="E2553" s="1" t="s">
        <v>9405</v>
      </c>
      <c r="F2553" s="1"/>
      <c r="G2553" s="1">
        <v>670672</v>
      </c>
      <c r="H2553" s="1">
        <v>131.25</v>
      </c>
    </row>
    <row r="2554" spans="1:8" ht="21.75" customHeight="1">
      <c r="A2554" s="1" t="str">
        <f>"1203320007451149"</f>
        <v>1203320007451149</v>
      </c>
      <c r="B2554" s="1" t="s">
        <v>9406</v>
      </c>
      <c r="C2554" s="1" t="s">
        <v>9407</v>
      </c>
      <c r="D2554" s="1" t="s">
        <v>9408</v>
      </c>
      <c r="E2554" s="1" t="s">
        <v>9326</v>
      </c>
      <c r="F2554" s="1" t="s">
        <v>9409</v>
      </c>
      <c r="G2554" s="1">
        <v>670672</v>
      </c>
      <c r="H2554" s="1">
        <v>112.5</v>
      </c>
    </row>
    <row r="2555" spans="1:8" ht="21.75" customHeight="1">
      <c r="A2555" s="1" t="str">
        <f>"IN30189510553998"</f>
        <v>IN30189510553998</v>
      </c>
      <c r="B2555" s="1" t="s">
        <v>9410</v>
      </c>
      <c r="C2555" s="1" t="s">
        <v>9411</v>
      </c>
      <c r="D2555" s="1" t="s">
        <v>9412</v>
      </c>
      <c r="E2555" s="1" t="s">
        <v>9413</v>
      </c>
      <c r="F2555" s="1"/>
      <c r="G2555" s="1">
        <v>670674</v>
      </c>
      <c r="H2555" s="1">
        <v>75</v>
      </c>
    </row>
    <row r="2556" spans="1:8" ht="21.75" customHeight="1">
      <c r="A2556" s="1" t="str">
        <f>"1204720010864354"</f>
        <v>1204720010864354</v>
      </c>
      <c r="B2556" s="1" t="s">
        <v>9414</v>
      </c>
      <c r="C2556" s="1" t="s">
        <v>9415</v>
      </c>
      <c r="D2556" s="1" t="s">
        <v>9416</v>
      </c>
      <c r="E2556" s="1" t="s">
        <v>9417</v>
      </c>
      <c r="F2556" s="1" t="s">
        <v>5039</v>
      </c>
      <c r="G2556" s="1">
        <v>670691</v>
      </c>
      <c r="H2556" s="1">
        <v>41.25</v>
      </c>
    </row>
    <row r="2557" spans="1:8" ht="21.75" customHeight="1">
      <c r="A2557" s="1" t="str">
        <f>"1203600001269419"</f>
        <v>1203600001269419</v>
      </c>
      <c r="B2557" s="1" t="s">
        <v>9418</v>
      </c>
      <c r="C2557" s="1" t="s">
        <v>9419</v>
      </c>
      <c r="D2557" s="1" t="s">
        <v>9420</v>
      </c>
      <c r="E2557" s="1" t="s">
        <v>9421</v>
      </c>
      <c r="F2557" s="1" t="s">
        <v>9326</v>
      </c>
      <c r="G2557" s="1">
        <v>670694</v>
      </c>
      <c r="H2557" s="1">
        <v>75</v>
      </c>
    </row>
    <row r="2558" spans="1:8" ht="21.75" customHeight="1">
      <c r="A2558" s="1" t="str">
        <f>"IN30189510965740"</f>
        <v>IN30189510965740</v>
      </c>
      <c r="B2558" s="1" t="s">
        <v>9422</v>
      </c>
      <c r="C2558" s="1" t="s">
        <v>9423</v>
      </c>
      <c r="D2558" s="1" t="s">
        <v>9424</v>
      </c>
      <c r="E2558" s="1" t="s">
        <v>9425</v>
      </c>
      <c r="F2558" s="1"/>
      <c r="G2558" s="1">
        <v>670702</v>
      </c>
      <c r="H2558" s="1">
        <v>48</v>
      </c>
    </row>
    <row r="2559" spans="1:8" ht="21.75" customHeight="1">
      <c r="A2559" s="1" t="str">
        <f>"IN30023914224005"</f>
        <v>IN30023914224005</v>
      </c>
      <c r="B2559" s="1" t="s">
        <v>9426</v>
      </c>
      <c r="C2559" s="1" t="s">
        <v>9427</v>
      </c>
      <c r="D2559" s="1" t="s">
        <v>9428</v>
      </c>
      <c r="E2559" s="1" t="s">
        <v>9429</v>
      </c>
      <c r="F2559" s="1"/>
      <c r="G2559" s="1">
        <v>670702</v>
      </c>
      <c r="H2559" s="1">
        <v>433.5</v>
      </c>
    </row>
    <row r="2560" spans="1:8" ht="21.75" customHeight="1">
      <c r="A2560" s="1" t="str">
        <f>"IN30023912530479"</f>
        <v>IN30023912530479</v>
      </c>
      <c r="B2560" s="1" t="s">
        <v>9430</v>
      </c>
      <c r="C2560" s="1" t="s">
        <v>9431</v>
      </c>
      <c r="D2560" s="1" t="s">
        <v>9432</v>
      </c>
      <c r="E2560" s="1" t="s">
        <v>9315</v>
      </c>
      <c r="F2560" s="1"/>
      <c r="G2560" s="1">
        <v>670704</v>
      </c>
      <c r="H2560" s="1">
        <v>150</v>
      </c>
    </row>
    <row r="2561" spans="1:8" ht="21.75" customHeight="1">
      <c r="A2561" s="1" t="str">
        <f>"1204470002834821"</f>
        <v>1204470002834821</v>
      </c>
      <c r="B2561" s="1" t="s">
        <v>9433</v>
      </c>
      <c r="C2561" s="1" t="s">
        <v>9434</v>
      </c>
      <c r="D2561" s="1" t="s">
        <v>9435</v>
      </c>
      <c r="E2561" s="1"/>
      <c r="F2561" s="1" t="s">
        <v>431</v>
      </c>
      <c r="G2561" s="1">
        <v>671121</v>
      </c>
      <c r="H2561" s="1">
        <v>25.5</v>
      </c>
    </row>
    <row r="2562" spans="1:8" ht="21.75" customHeight="1">
      <c r="A2562" s="1" t="str">
        <f>"1201090012722062"</f>
        <v>1201090012722062</v>
      </c>
      <c r="B2562" s="1" t="s">
        <v>9436</v>
      </c>
      <c r="C2562" s="1" t="s">
        <v>9437</v>
      </c>
      <c r="D2562" s="1" t="s">
        <v>9438</v>
      </c>
      <c r="E2562" s="1"/>
      <c r="F2562" s="1" t="s">
        <v>431</v>
      </c>
      <c r="G2562" s="1">
        <v>671124</v>
      </c>
      <c r="H2562" s="1">
        <v>11.25</v>
      </c>
    </row>
    <row r="2563" spans="1:8" ht="21.75" customHeight="1">
      <c r="A2563" s="1" t="str">
        <f>"1201090012662681"</f>
        <v>1201090012662681</v>
      </c>
      <c r="B2563" s="1" t="s">
        <v>9439</v>
      </c>
      <c r="C2563" s="1" t="s">
        <v>9440</v>
      </c>
      <c r="D2563" s="1" t="s">
        <v>9441</v>
      </c>
      <c r="E2563" s="1" t="s">
        <v>9442</v>
      </c>
      <c r="F2563" s="1" t="s">
        <v>431</v>
      </c>
      <c r="G2563" s="1">
        <v>671124</v>
      </c>
      <c r="H2563" s="1">
        <v>12</v>
      </c>
    </row>
    <row r="2564" spans="1:8" ht="21.75" customHeight="1">
      <c r="A2564" s="1" t="str">
        <f>"1201090012806051"</f>
        <v>1201090012806051</v>
      </c>
      <c r="B2564" s="1" t="s">
        <v>9443</v>
      </c>
      <c r="C2564" s="1" t="s">
        <v>9444</v>
      </c>
      <c r="D2564" s="1" t="s">
        <v>5091</v>
      </c>
      <c r="E2564" s="1"/>
      <c r="F2564" s="1" t="s">
        <v>431</v>
      </c>
      <c r="G2564" s="1">
        <v>671124</v>
      </c>
      <c r="H2564" s="1">
        <v>65.25</v>
      </c>
    </row>
    <row r="2565" spans="1:8" ht="21.75" customHeight="1">
      <c r="A2565" s="1" t="str">
        <f>"IN30189510282573"</f>
        <v>IN30189510282573</v>
      </c>
      <c r="B2565" s="1" t="s">
        <v>9445</v>
      </c>
      <c r="C2565" s="1" t="s">
        <v>9446</v>
      </c>
      <c r="D2565" s="1" t="s">
        <v>9447</v>
      </c>
      <c r="E2565" s="1" t="s">
        <v>9448</v>
      </c>
      <c r="F2565" s="1"/>
      <c r="G2565" s="1">
        <v>671310</v>
      </c>
      <c r="H2565" s="1">
        <v>21.75</v>
      </c>
    </row>
    <row r="2566" spans="1:8" ht="21.75" customHeight="1">
      <c r="A2566" s="1" t="str">
        <f>"IN30189510302600"</f>
        <v>IN30189510302600</v>
      </c>
      <c r="B2566" s="1" t="s">
        <v>9449</v>
      </c>
      <c r="C2566" s="1" t="s">
        <v>9450</v>
      </c>
      <c r="D2566" s="1" t="s">
        <v>9451</v>
      </c>
      <c r="E2566" s="1" t="s">
        <v>9448</v>
      </c>
      <c r="F2566" s="1"/>
      <c r="G2566" s="1">
        <v>671310</v>
      </c>
      <c r="H2566" s="1">
        <v>24.75</v>
      </c>
    </row>
    <row r="2567" spans="1:8" ht="21.75" customHeight="1">
      <c r="A2567" s="1" t="str">
        <f>"1204760000234148"</f>
        <v>1204760000234148</v>
      </c>
      <c r="B2567" s="1" t="s">
        <v>9452</v>
      </c>
      <c r="C2567" s="1" t="s">
        <v>9453</v>
      </c>
      <c r="D2567" s="1" t="s">
        <v>9454</v>
      </c>
      <c r="E2567" s="1" t="s">
        <v>9455</v>
      </c>
      <c r="F2567" s="1" t="s">
        <v>9456</v>
      </c>
      <c r="G2567" s="1">
        <v>671313</v>
      </c>
      <c r="H2567" s="1">
        <v>15</v>
      </c>
    </row>
    <row r="2568" spans="1:8" ht="21.75" customHeight="1">
      <c r="A2568" s="1" t="str">
        <f>"IN30039416848235"</f>
        <v>IN30039416848235</v>
      </c>
      <c r="B2568" s="1" t="s">
        <v>9457</v>
      </c>
      <c r="C2568" s="1" t="s">
        <v>9458</v>
      </c>
      <c r="D2568" s="1" t="s">
        <v>9459</v>
      </c>
      <c r="E2568" s="1" t="s">
        <v>9460</v>
      </c>
      <c r="F2568" s="1"/>
      <c r="G2568" s="1">
        <v>671314</v>
      </c>
      <c r="H2568" s="1">
        <v>150</v>
      </c>
    </row>
    <row r="2569" spans="1:8" ht="21.75" customHeight="1">
      <c r="A2569" s="1" t="str">
        <f>"1301440001413870"</f>
        <v>1301440001413870</v>
      </c>
      <c r="B2569" s="1" t="s">
        <v>9461</v>
      </c>
      <c r="C2569" s="1" t="s">
        <v>9462</v>
      </c>
      <c r="D2569" s="1" t="s">
        <v>9463</v>
      </c>
      <c r="E2569" s="1" t="s">
        <v>9464</v>
      </c>
      <c r="F2569" s="1" t="s">
        <v>432</v>
      </c>
      <c r="G2569" s="1">
        <v>671315</v>
      </c>
      <c r="H2569" s="1">
        <v>22.5</v>
      </c>
    </row>
    <row r="2570" spans="1:8" ht="21.75" customHeight="1">
      <c r="A2570" s="1" t="str">
        <f>"IN30189510537608"</f>
        <v>IN30189510537608</v>
      </c>
      <c r="B2570" s="1" t="s">
        <v>9465</v>
      </c>
      <c r="C2570" s="1" t="s">
        <v>9466</v>
      </c>
      <c r="D2570" s="1" t="s">
        <v>9467</v>
      </c>
      <c r="E2570" s="1" t="s">
        <v>9468</v>
      </c>
      <c r="F2570" s="1"/>
      <c r="G2570" s="1">
        <v>671323</v>
      </c>
      <c r="H2570" s="1">
        <v>0.75</v>
      </c>
    </row>
    <row r="2571" spans="1:8" ht="21.75" customHeight="1">
      <c r="A2571" s="1" t="str">
        <f>"1204760000095117"</f>
        <v>1204760000095117</v>
      </c>
      <c r="B2571" s="1" t="s">
        <v>9469</v>
      </c>
      <c r="C2571" s="1" t="s">
        <v>9470</v>
      </c>
      <c r="D2571" s="1" t="s">
        <v>9471</v>
      </c>
      <c r="E2571" s="1" t="s">
        <v>9472</v>
      </c>
      <c r="F2571" s="1" t="s">
        <v>432</v>
      </c>
      <c r="G2571" s="1">
        <v>671357</v>
      </c>
      <c r="H2571" s="1">
        <v>33.75</v>
      </c>
    </row>
    <row r="2572" spans="1:8" ht="21.75" customHeight="1">
      <c r="A2572" s="1" t="str">
        <f>"1204470002226270"</f>
        <v>1204470002226270</v>
      </c>
      <c r="B2572" s="1" t="s">
        <v>9473</v>
      </c>
      <c r="C2572" s="1" t="s">
        <v>9474</v>
      </c>
      <c r="D2572" s="1" t="s">
        <v>9475</v>
      </c>
      <c r="E2572" s="1" t="s">
        <v>432</v>
      </c>
      <c r="F2572" s="1" t="s">
        <v>432</v>
      </c>
      <c r="G2572" s="1">
        <v>671531</v>
      </c>
      <c r="H2572" s="1">
        <v>211.5</v>
      </c>
    </row>
    <row r="2573" spans="1:8" ht="21.75" customHeight="1">
      <c r="A2573" s="1" t="str">
        <f>"1201090012823090"</f>
        <v>1201090012823090</v>
      </c>
      <c r="B2573" s="1" t="s">
        <v>9476</v>
      </c>
      <c r="C2573" s="1" t="s">
        <v>9477</v>
      </c>
      <c r="D2573" s="1" t="s">
        <v>9478</v>
      </c>
      <c r="E2573" s="1" t="s">
        <v>9479</v>
      </c>
      <c r="F2573" s="1" t="s">
        <v>431</v>
      </c>
      <c r="G2573" s="1">
        <v>671541</v>
      </c>
      <c r="H2573" s="1">
        <v>191.25</v>
      </c>
    </row>
    <row r="2574" spans="1:8" ht="21.75" customHeight="1">
      <c r="A2574" s="1" t="str">
        <f>"1201090012858757"</f>
        <v>1201090012858757</v>
      </c>
      <c r="B2574" s="1" t="s">
        <v>9480</v>
      </c>
      <c r="C2574" s="1" t="s">
        <v>9481</v>
      </c>
      <c r="D2574" s="1" t="s">
        <v>9482</v>
      </c>
      <c r="E2574" s="1" t="s">
        <v>410</v>
      </c>
      <c r="F2574" s="1" t="s">
        <v>431</v>
      </c>
      <c r="G2574" s="1">
        <v>671541</v>
      </c>
      <c r="H2574" s="1">
        <v>87</v>
      </c>
    </row>
    <row r="2575" spans="1:8" ht="21.75" customHeight="1">
      <c r="A2575" s="1" t="str">
        <f>"IN30021413371705"</f>
        <v>IN30021413371705</v>
      </c>
      <c r="B2575" s="1" t="s">
        <v>9483</v>
      </c>
      <c r="C2575" s="1" t="s">
        <v>9484</v>
      </c>
      <c r="D2575" s="1" t="s">
        <v>9485</v>
      </c>
      <c r="E2575" s="1" t="s">
        <v>9456</v>
      </c>
      <c r="F2575" s="1"/>
      <c r="G2575" s="1">
        <v>671543</v>
      </c>
      <c r="H2575" s="1">
        <v>75</v>
      </c>
    </row>
    <row r="2576" spans="1:8" ht="21.75" customHeight="1">
      <c r="A2576" s="1" t="str">
        <f>"IN30039415913380"</f>
        <v>IN30039415913380</v>
      </c>
      <c r="B2576" s="1" t="s">
        <v>9486</v>
      </c>
      <c r="C2576" s="1" t="s">
        <v>9487</v>
      </c>
      <c r="D2576" s="1" t="s">
        <v>9456</v>
      </c>
      <c r="E2576" s="1" t="s">
        <v>448</v>
      </c>
      <c r="F2576" s="1"/>
      <c r="G2576" s="1">
        <v>671545</v>
      </c>
      <c r="H2576" s="1">
        <v>37.5</v>
      </c>
    </row>
    <row r="2577" spans="1:8" ht="21.75" customHeight="1">
      <c r="A2577" s="1" t="str">
        <f>"1203440000257994"</f>
        <v>1203440000257994</v>
      </c>
      <c r="B2577" s="1" t="s">
        <v>9488</v>
      </c>
      <c r="C2577" s="1" t="s">
        <v>9489</v>
      </c>
      <c r="D2577" s="1" t="s">
        <v>9490</v>
      </c>
      <c r="E2577" s="1" t="s">
        <v>447</v>
      </c>
      <c r="F2577" s="1" t="s">
        <v>447</v>
      </c>
      <c r="G2577" s="1">
        <v>673001</v>
      </c>
      <c r="H2577" s="1">
        <v>401.25</v>
      </c>
    </row>
    <row r="2578" spans="1:8" ht="21.75" customHeight="1">
      <c r="A2578" s="1" t="str">
        <f>"IN30023912009999"</f>
        <v>IN30023912009999</v>
      </c>
      <c r="B2578" s="1" t="s">
        <v>9491</v>
      </c>
      <c r="C2578" s="1" t="s">
        <v>9492</v>
      </c>
      <c r="D2578" s="1" t="s">
        <v>5949</v>
      </c>
      <c r="E2578" s="1" t="s">
        <v>9493</v>
      </c>
      <c r="F2578" s="1"/>
      <c r="G2578" s="1">
        <v>673001</v>
      </c>
      <c r="H2578" s="1">
        <v>75</v>
      </c>
    </row>
    <row r="2579" spans="1:8" ht="21.75" customHeight="1">
      <c r="A2579" s="1" t="str">
        <f>"IN30189510038107"</f>
        <v>IN30189510038107</v>
      </c>
      <c r="B2579" s="1" t="s">
        <v>9494</v>
      </c>
      <c r="C2579" s="1" t="s">
        <v>9495</v>
      </c>
      <c r="D2579" s="1" t="s">
        <v>9496</v>
      </c>
      <c r="E2579" s="1" t="s">
        <v>9497</v>
      </c>
      <c r="F2579" s="1"/>
      <c r="G2579" s="1">
        <v>673001</v>
      </c>
      <c r="H2579" s="1">
        <v>2.25</v>
      </c>
    </row>
    <row r="2580" spans="1:8" ht="21.75" customHeight="1">
      <c r="A2580" s="1" t="str">
        <f>"IN30169610096693"</f>
        <v>IN30169610096693</v>
      </c>
      <c r="B2580" s="1" t="s">
        <v>9498</v>
      </c>
      <c r="C2580" s="1" t="s">
        <v>9499</v>
      </c>
      <c r="D2580" s="1"/>
      <c r="E2580" s="1" t="s">
        <v>438</v>
      </c>
      <c r="F2580" s="1"/>
      <c r="G2580" s="1">
        <v>673006</v>
      </c>
      <c r="H2580" s="1">
        <v>75</v>
      </c>
    </row>
    <row r="2581" spans="1:8" ht="21.75" customHeight="1">
      <c r="A2581" s="1" t="str">
        <f>"IN30189510878728"</f>
        <v>IN30189510878728</v>
      </c>
      <c r="B2581" s="1" t="s">
        <v>9500</v>
      </c>
      <c r="C2581" s="1" t="s">
        <v>9501</v>
      </c>
      <c r="D2581" s="1" t="s">
        <v>9502</v>
      </c>
      <c r="E2581" s="1" t="s">
        <v>9503</v>
      </c>
      <c r="F2581" s="1"/>
      <c r="G2581" s="1">
        <v>673007</v>
      </c>
      <c r="H2581" s="1">
        <v>67.5</v>
      </c>
    </row>
    <row r="2582" spans="1:8" ht="21.75" customHeight="1">
      <c r="A2582" s="1" t="str">
        <f>"IN30171532010037"</f>
        <v>IN30171532010037</v>
      </c>
      <c r="B2582" s="1" t="s">
        <v>9504</v>
      </c>
      <c r="C2582" s="1" t="s">
        <v>9505</v>
      </c>
      <c r="D2582" s="1" t="s">
        <v>9506</v>
      </c>
      <c r="E2582" s="1" t="s">
        <v>9507</v>
      </c>
      <c r="F2582" s="1"/>
      <c r="G2582" s="1">
        <v>673008</v>
      </c>
      <c r="H2582" s="1">
        <v>146.25</v>
      </c>
    </row>
    <row r="2583" spans="1:8" ht="21.75" customHeight="1">
      <c r="A2583" s="1" t="str">
        <f>"1204760000227016"</f>
        <v>1204760000227016</v>
      </c>
      <c r="B2583" s="1" t="s">
        <v>9508</v>
      </c>
      <c r="C2583" s="1" t="s">
        <v>9509</v>
      </c>
      <c r="D2583" s="1" t="s">
        <v>9510</v>
      </c>
      <c r="E2583" s="1" t="s">
        <v>9511</v>
      </c>
      <c r="F2583" s="1" t="s">
        <v>438</v>
      </c>
      <c r="G2583" s="1">
        <v>673009</v>
      </c>
      <c r="H2583" s="1">
        <v>54.75</v>
      </c>
    </row>
    <row r="2584" spans="1:8" ht="21.75" customHeight="1">
      <c r="A2584" s="1" t="str">
        <f>"IN30023913330993"</f>
        <v>IN30023913330993</v>
      </c>
      <c r="B2584" s="1" t="s">
        <v>9512</v>
      </c>
      <c r="C2584" s="1" t="s">
        <v>9513</v>
      </c>
      <c r="D2584" s="1" t="s">
        <v>9514</v>
      </c>
      <c r="E2584" s="1" t="s">
        <v>9515</v>
      </c>
      <c r="F2584" s="1"/>
      <c r="G2584" s="1">
        <v>673010</v>
      </c>
      <c r="H2584" s="1">
        <v>30</v>
      </c>
    </row>
    <row r="2585" spans="1:8" ht="21.75" customHeight="1">
      <c r="A2585" s="1" t="str">
        <f>"IN30051311141585"</f>
        <v>IN30051311141585</v>
      </c>
      <c r="B2585" s="1" t="s">
        <v>9516</v>
      </c>
      <c r="C2585" s="1" t="s">
        <v>9517</v>
      </c>
      <c r="D2585" s="1" t="s">
        <v>9518</v>
      </c>
      <c r="E2585" s="1" t="s">
        <v>9519</v>
      </c>
      <c r="F2585" s="1"/>
      <c r="G2585" s="1">
        <v>673010</v>
      </c>
      <c r="H2585" s="1">
        <v>562.5</v>
      </c>
    </row>
    <row r="2586" spans="1:8" ht="21.75" customHeight="1">
      <c r="A2586" s="1" t="str">
        <f>"IN30181110157273"</f>
        <v>IN30181110157273</v>
      </c>
      <c r="B2586" s="1" t="s">
        <v>9520</v>
      </c>
      <c r="C2586" s="1" t="s">
        <v>9521</v>
      </c>
      <c r="D2586" s="1" t="s">
        <v>9522</v>
      </c>
      <c r="E2586" s="1" t="s">
        <v>9523</v>
      </c>
      <c r="F2586" s="1"/>
      <c r="G2586" s="1">
        <v>673015</v>
      </c>
      <c r="H2586" s="1">
        <v>7.5</v>
      </c>
    </row>
    <row r="2587" spans="1:8" ht="21.75" customHeight="1">
      <c r="A2587" s="1" t="str">
        <f>"IN30023912673513"</f>
        <v>IN30023912673513</v>
      </c>
      <c r="B2587" s="1" t="s">
        <v>9526</v>
      </c>
      <c r="C2587" s="1" t="s">
        <v>9527</v>
      </c>
      <c r="D2587" s="1" t="s">
        <v>9528</v>
      </c>
      <c r="E2587" s="1" t="s">
        <v>9529</v>
      </c>
      <c r="F2587" s="1"/>
      <c r="G2587" s="1">
        <v>673025</v>
      </c>
      <c r="H2587" s="1">
        <v>22.5</v>
      </c>
    </row>
    <row r="2588" spans="1:8" ht="21.75" customHeight="1">
      <c r="A2588" s="1" t="str">
        <f>"1203280000277203"</f>
        <v>1203280000277203</v>
      </c>
      <c r="B2588" s="1" t="s">
        <v>9530</v>
      </c>
      <c r="C2588" s="1" t="s">
        <v>9531</v>
      </c>
      <c r="D2588" s="1" t="s">
        <v>9525</v>
      </c>
      <c r="E2588" s="1" t="s">
        <v>9524</v>
      </c>
      <c r="F2588" s="1" t="s">
        <v>438</v>
      </c>
      <c r="G2588" s="1">
        <v>673028</v>
      </c>
      <c r="H2588" s="1">
        <v>24.75</v>
      </c>
    </row>
    <row r="2589" spans="1:8" ht="21.75" customHeight="1">
      <c r="A2589" s="1" t="str">
        <f>"IN30023910162130"</f>
        <v>IN30023910162130</v>
      </c>
      <c r="B2589" s="1" t="s">
        <v>9532</v>
      </c>
      <c r="C2589" s="1" t="s">
        <v>9533</v>
      </c>
      <c r="D2589" s="1" t="s">
        <v>9534</v>
      </c>
      <c r="E2589" s="1" t="s">
        <v>9535</v>
      </c>
      <c r="F2589" s="1"/>
      <c r="G2589" s="1">
        <v>673032</v>
      </c>
      <c r="H2589" s="1">
        <v>30</v>
      </c>
    </row>
    <row r="2590" spans="1:8" ht="21.75" customHeight="1">
      <c r="A2590" s="1" t="str">
        <f>"1205670000435924"</f>
        <v>1205670000435924</v>
      </c>
      <c r="B2590" s="1" t="s">
        <v>9536</v>
      </c>
      <c r="C2590" s="1" t="s">
        <v>9537</v>
      </c>
      <c r="D2590" s="1" t="s">
        <v>9538</v>
      </c>
      <c r="E2590" s="1"/>
      <c r="F2590" s="1" t="s">
        <v>9539</v>
      </c>
      <c r="G2590" s="1">
        <v>673101</v>
      </c>
      <c r="H2590" s="1">
        <v>75</v>
      </c>
    </row>
    <row r="2591" spans="1:8" ht="21.75" customHeight="1">
      <c r="A2591" s="1" t="str">
        <f>"1201090001388561"</f>
        <v>1201090001388561</v>
      </c>
      <c r="B2591" s="1" t="s">
        <v>9540</v>
      </c>
      <c r="C2591" s="1" t="s">
        <v>9541</v>
      </c>
      <c r="D2591" s="1" t="s">
        <v>9542</v>
      </c>
      <c r="E2591" s="1" t="s">
        <v>9543</v>
      </c>
      <c r="F2591" s="1" t="s">
        <v>9543</v>
      </c>
      <c r="G2591" s="1">
        <v>673109</v>
      </c>
      <c r="H2591" s="1">
        <v>22.5</v>
      </c>
    </row>
    <row r="2592" spans="1:8" ht="21.75" customHeight="1">
      <c r="A2592" s="1" t="str">
        <f>"1201090012784421"</f>
        <v>1201090012784421</v>
      </c>
      <c r="B2592" s="1" t="s">
        <v>9544</v>
      </c>
      <c r="C2592" s="1" t="s">
        <v>9545</v>
      </c>
      <c r="D2592" s="1" t="s">
        <v>9546</v>
      </c>
      <c r="E2592" s="1"/>
      <c r="F2592" s="1" t="s">
        <v>980</v>
      </c>
      <c r="G2592" s="1">
        <v>673121</v>
      </c>
      <c r="H2592" s="1">
        <v>18.75</v>
      </c>
    </row>
    <row r="2593" spans="1:8" ht="21.75" customHeight="1">
      <c r="A2593" s="1" t="str">
        <f>"003050"</f>
        <v>003050</v>
      </c>
      <c r="B2593" s="1" t="s">
        <v>9547</v>
      </c>
      <c r="C2593" s="1" t="s">
        <v>9548</v>
      </c>
      <c r="D2593" s="1" t="s">
        <v>9549</v>
      </c>
      <c r="E2593" s="1"/>
      <c r="F2593" s="1" t="s">
        <v>980</v>
      </c>
      <c r="G2593" s="1">
        <v>673121</v>
      </c>
      <c r="H2593" s="1">
        <v>1500</v>
      </c>
    </row>
    <row r="2594" spans="1:8" ht="21.75" customHeight="1">
      <c r="A2594" s="1" t="str">
        <f>"1201090001664773"</f>
        <v>1201090001664773</v>
      </c>
      <c r="B2594" s="1" t="s">
        <v>9550</v>
      </c>
      <c r="C2594" s="1" t="s">
        <v>9551</v>
      </c>
      <c r="D2594" s="1" t="s">
        <v>9552</v>
      </c>
      <c r="E2594" s="1" t="s">
        <v>9553</v>
      </c>
      <c r="F2594" s="1" t="s">
        <v>980</v>
      </c>
      <c r="G2594" s="1">
        <v>673122</v>
      </c>
      <c r="H2594" s="1">
        <v>150</v>
      </c>
    </row>
    <row r="2595" spans="1:8" ht="21.75" customHeight="1">
      <c r="A2595" s="1" t="str">
        <f>"IN30023913087975"</f>
        <v>IN30023913087975</v>
      </c>
      <c r="B2595" s="1" t="s">
        <v>9554</v>
      </c>
      <c r="C2595" s="1">
        <v>1280</v>
      </c>
      <c r="D2595" s="1" t="s">
        <v>9555</v>
      </c>
      <c r="E2595" s="1" t="s">
        <v>9556</v>
      </c>
      <c r="F2595" s="1"/>
      <c r="G2595" s="1">
        <v>673146</v>
      </c>
      <c r="H2595" s="1">
        <v>30</v>
      </c>
    </row>
    <row r="2596" spans="1:8" ht="21.75" customHeight="1">
      <c r="A2596" s="1" t="str">
        <f>"IN30023913712717"</f>
        <v>IN30023913712717</v>
      </c>
      <c r="B2596" s="1" t="s">
        <v>9557</v>
      </c>
      <c r="C2596" s="1" t="s">
        <v>9558</v>
      </c>
      <c r="D2596" s="1" t="s">
        <v>9559</v>
      </c>
      <c r="E2596" s="1" t="s">
        <v>9560</v>
      </c>
      <c r="F2596" s="1"/>
      <c r="G2596" s="1">
        <v>673316</v>
      </c>
      <c r="H2596" s="1">
        <v>54.75</v>
      </c>
    </row>
    <row r="2597" spans="1:8" ht="21.75" customHeight="1">
      <c r="A2597" s="1" t="str">
        <f>"1204470003956736"</f>
        <v>1204470003956736</v>
      </c>
      <c r="B2597" s="1" t="s">
        <v>9562</v>
      </c>
      <c r="C2597" s="1" t="s">
        <v>9563</v>
      </c>
      <c r="D2597" s="1" t="s">
        <v>9564</v>
      </c>
      <c r="E2597" s="1"/>
      <c r="F2597" s="1" t="s">
        <v>438</v>
      </c>
      <c r="G2597" s="1">
        <v>673328</v>
      </c>
      <c r="H2597" s="1">
        <v>70.5</v>
      </c>
    </row>
    <row r="2598" spans="1:8" ht="21.75" customHeight="1">
      <c r="A2598" s="1" t="str">
        <f>"IN30039417174035"</f>
        <v>IN30039417174035</v>
      </c>
      <c r="B2598" s="1" t="s">
        <v>9565</v>
      </c>
      <c r="C2598" s="1" t="s">
        <v>9566</v>
      </c>
      <c r="D2598" s="1" t="s">
        <v>9567</v>
      </c>
      <c r="E2598" s="1" t="s">
        <v>9568</v>
      </c>
      <c r="F2598" s="1"/>
      <c r="G2598" s="1">
        <v>673501</v>
      </c>
      <c r="H2598" s="1">
        <v>3</v>
      </c>
    </row>
    <row r="2599" spans="1:8" ht="21.75" customHeight="1">
      <c r="A2599" s="1" t="str">
        <f>"1201090012864053"</f>
        <v>1201090012864053</v>
      </c>
      <c r="B2599" s="1" t="s">
        <v>9569</v>
      </c>
      <c r="C2599" s="1" t="s">
        <v>9570</v>
      </c>
      <c r="D2599" s="1" t="s">
        <v>9571</v>
      </c>
      <c r="E2599" s="1" t="s">
        <v>443</v>
      </c>
      <c r="F2599" s="1" t="s">
        <v>443</v>
      </c>
      <c r="G2599" s="1">
        <v>673501</v>
      </c>
      <c r="H2599" s="1">
        <v>550.5</v>
      </c>
    </row>
    <row r="2600" spans="1:8" ht="21.75" customHeight="1">
      <c r="A2600" s="1" t="str">
        <f>"IN30189510778927"</f>
        <v>IN30189510778927</v>
      </c>
      <c r="B2600" s="1" t="s">
        <v>9572</v>
      </c>
      <c r="C2600" s="1" t="s">
        <v>9573</v>
      </c>
      <c r="D2600" s="1" t="s">
        <v>9574</v>
      </c>
      <c r="E2600" s="1" t="s">
        <v>9575</v>
      </c>
      <c r="F2600" s="1"/>
      <c r="G2600" s="1">
        <v>673503</v>
      </c>
      <c r="H2600" s="1">
        <v>7.5</v>
      </c>
    </row>
    <row r="2601" spans="1:8" ht="21.75" customHeight="1">
      <c r="A2601" s="1" t="str">
        <f>"1201090012840133"</f>
        <v>1201090012840133</v>
      </c>
      <c r="B2601" s="1" t="s">
        <v>9576</v>
      </c>
      <c r="C2601" s="1" t="s">
        <v>9577</v>
      </c>
      <c r="D2601" s="1" t="s">
        <v>9578</v>
      </c>
      <c r="E2601" s="1"/>
      <c r="F2601" s="1" t="s">
        <v>443</v>
      </c>
      <c r="G2601" s="1">
        <v>673506</v>
      </c>
      <c r="H2601" s="1">
        <v>130.5</v>
      </c>
    </row>
    <row r="2602" spans="1:8" ht="21.75" customHeight="1">
      <c r="A2602" s="1" t="str">
        <f>"IN30226913226377"</f>
        <v>IN30226913226377</v>
      </c>
      <c r="B2602" s="1" t="s">
        <v>9579</v>
      </c>
      <c r="C2602" s="1" t="s">
        <v>9580</v>
      </c>
      <c r="D2602" s="1" t="s">
        <v>9581</v>
      </c>
      <c r="E2602" s="1" t="s">
        <v>9582</v>
      </c>
      <c r="F2602" s="1"/>
      <c r="G2602" s="1">
        <v>673521</v>
      </c>
      <c r="H2602" s="1">
        <v>1165.75</v>
      </c>
    </row>
    <row r="2603" spans="1:8" ht="21.75" customHeight="1">
      <c r="A2603" s="1" t="str">
        <f>"1204470003742339"</f>
        <v>1204470003742339</v>
      </c>
      <c r="B2603" s="1" t="s">
        <v>9583</v>
      </c>
      <c r="C2603" s="1" t="s">
        <v>9584</v>
      </c>
      <c r="D2603" s="1" t="s">
        <v>9585</v>
      </c>
      <c r="E2603" s="1"/>
      <c r="F2603" s="1" t="s">
        <v>443</v>
      </c>
      <c r="G2603" s="1">
        <v>673521</v>
      </c>
      <c r="H2603" s="1">
        <v>40.5</v>
      </c>
    </row>
    <row r="2604" spans="1:8" ht="21.75" customHeight="1">
      <c r="A2604" s="1" t="str">
        <f>"1204470005256268"</f>
        <v>1204470005256268</v>
      </c>
      <c r="B2604" s="1" t="s">
        <v>9586</v>
      </c>
      <c r="C2604" s="1" t="s">
        <v>9587</v>
      </c>
      <c r="D2604" s="1" t="s">
        <v>9588</v>
      </c>
      <c r="E2604" s="1" t="s">
        <v>9589</v>
      </c>
      <c r="F2604" s="1" t="s">
        <v>443</v>
      </c>
      <c r="G2604" s="1">
        <v>673523</v>
      </c>
      <c r="H2604" s="1">
        <v>4.5</v>
      </c>
    </row>
    <row r="2605" spans="1:8" ht="21.75" customHeight="1">
      <c r="A2605" s="1" t="str">
        <f>"IN30023913681640"</f>
        <v>IN30023913681640</v>
      </c>
      <c r="B2605" s="1" t="s">
        <v>9590</v>
      </c>
      <c r="C2605" s="1" t="s">
        <v>9591</v>
      </c>
      <c r="D2605" s="1" t="s">
        <v>9592</v>
      </c>
      <c r="E2605" s="1" t="s">
        <v>9568</v>
      </c>
      <c r="F2605" s="1"/>
      <c r="G2605" s="1">
        <v>673524</v>
      </c>
      <c r="H2605" s="1">
        <v>75</v>
      </c>
    </row>
    <row r="2606" spans="1:8" ht="21.75" customHeight="1">
      <c r="A2606" s="1" t="str">
        <f>"1204470005081356"</f>
        <v>1204470005081356</v>
      </c>
      <c r="B2606" s="1" t="s">
        <v>9593</v>
      </c>
      <c r="C2606" s="1" t="s">
        <v>9594</v>
      </c>
      <c r="D2606" s="1" t="s">
        <v>9595</v>
      </c>
      <c r="E2606" s="1"/>
      <c r="F2606" s="1" t="s">
        <v>438</v>
      </c>
      <c r="G2606" s="1">
        <v>673524</v>
      </c>
      <c r="H2606" s="1">
        <v>238.5</v>
      </c>
    </row>
    <row r="2607" spans="1:8" ht="21.75" customHeight="1">
      <c r="A2607" s="1" t="str">
        <f>"IN30023914375797"</f>
        <v>IN30023914375797</v>
      </c>
      <c r="B2607" s="1" t="s">
        <v>9596</v>
      </c>
      <c r="C2607" s="1" t="s">
        <v>9597</v>
      </c>
      <c r="D2607" s="1" t="s">
        <v>9561</v>
      </c>
      <c r="E2607" s="1" t="s">
        <v>9598</v>
      </c>
      <c r="F2607" s="1"/>
      <c r="G2607" s="1">
        <v>673525</v>
      </c>
      <c r="H2607" s="1">
        <v>22.5</v>
      </c>
    </row>
    <row r="2608" spans="1:8" ht="21.75" customHeight="1">
      <c r="A2608" s="1" t="str">
        <f>"1204470006272832"</f>
        <v>1204470006272832</v>
      </c>
      <c r="B2608" s="1" t="s">
        <v>9599</v>
      </c>
      <c r="C2608" s="1" t="s">
        <v>9600</v>
      </c>
      <c r="D2608" s="1" t="s">
        <v>9601</v>
      </c>
      <c r="E2608" s="1"/>
      <c r="F2608" s="1" t="s">
        <v>443</v>
      </c>
      <c r="G2608" s="1">
        <v>673526</v>
      </c>
      <c r="H2608" s="1">
        <v>7.5</v>
      </c>
    </row>
    <row r="2609" spans="1:8" ht="21.75" customHeight="1">
      <c r="A2609" s="1" t="str">
        <f>"IN30023912808022"</f>
        <v>IN30023912808022</v>
      </c>
      <c r="B2609" s="1" t="s">
        <v>9602</v>
      </c>
      <c r="C2609" s="1" t="s">
        <v>9603</v>
      </c>
      <c r="D2609" s="1" t="s">
        <v>9604</v>
      </c>
      <c r="E2609" s="1" t="s">
        <v>9605</v>
      </c>
      <c r="F2609" s="1"/>
      <c r="G2609" s="1">
        <v>673529</v>
      </c>
      <c r="H2609" s="1">
        <v>150</v>
      </c>
    </row>
    <row r="2610" spans="1:8" ht="21.75" customHeight="1">
      <c r="A2610" s="1" t="str">
        <f>"1201090012639054"</f>
        <v>1201090012639054</v>
      </c>
      <c r="B2610" s="1" t="s">
        <v>9606</v>
      </c>
      <c r="C2610" s="1" t="s">
        <v>9607</v>
      </c>
      <c r="D2610" s="1" t="s">
        <v>9608</v>
      </c>
      <c r="E2610" s="1"/>
      <c r="F2610" s="1" t="s">
        <v>438</v>
      </c>
      <c r="G2610" s="1">
        <v>673532</v>
      </c>
      <c r="H2610" s="1">
        <v>1.5</v>
      </c>
    </row>
    <row r="2611" spans="1:8" ht="21.75" customHeight="1">
      <c r="A2611" s="1" t="str">
        <f>"IN30287120309670"</f>
        <v>IN30287120309670</v>
      </c>
      <c r="B2611" s="1" t="s">
        <v>9609</v>
      </c>
      <c r="C2611" s="1" t="s">
        <v>9610</v>
      </c>
      <c r="D2611" s="1" t="s">
        <v>9611</v>
      </c>
      <c r="E2611" s="1" t="s">
        <v>9612</v>
      </c>
      <c r="F2611" s="1"/>
      <c r="G2611" s="1">
        <v>673573</v>
      </c>
      <c r="H2611" s="1">
        <v>75</v>
      </c>
    </row>
    <row r="2612" spans="1:8" ht="21.75" customHeight="1">
      <c r="A2612" s="1" t="str">
        <f>"IN30181110140410"</f>
        <v>IN30181110140410</v>
      </c>
      <c r="B2612" s="1" t="s">
        <v>9613</v>
      </c>
      <c r="C2612" s="1" t="s">
        <v>9614</v>
      </c>
      <c r="D2612" s="1" t="s">
        <v>9615</v>
      </c>
      <c r="E2612" s="1" t="s">
        <v>443</v>
      </c>
      <c r="F2612" s="1"/>
      <c r="G2612" s="1">
        <v>673574</v>
      </c>
      <c r="H2612" s="1">
        <v>58.5</v>
      </c>
    </row>
    <row r="2613" spans="1:8" ht="21.75" customHeight="1">
      <c r="A2613" s="1" t="str">
        <f>"IN30181110071752"</f>
        <v>IN30181110071752</v>
      </c>
      <c r="B2613" s="1" t="s">
        <v>9616</v>
      </c>
      <c r="C2613" s="1" t="s">
        <v>9617</v>
      </c>
      <c r="D2613" s="1" t="s">
        <v>9618</v>
      </c>
      <c r="E2613" s="1" t="s">
        <v>9619</v>
      </c>
      <c r="F2613" s="1"/>
      <c r="G2613" s="1">
        <v>673574</v>
      </c>
      <c r="H2613" s="1">
        <v>37.5</v>
      </c>
    </row>
    <row r="2614" spans="1:8" ht="21.75" customHeight="1">
      <c r="A2614" s="1" t="str">
        <f>"1201090012818424"</f>
        <v>1201090012818424</v>
      </c>
      <c r="B2614" s="1" t="s">
        <v>9620</v>
      </c>
      <c r="C2614" s="1" t="s">
        <v>9621</v>
      </c>
      <c r="D2614" s="1" t="s">
        <v>9622</v>
      </c>
      <c r="E2614" s="1" t="s">
        <v>9623</v>
      </c>
      <c r="F2614" s="1" t="s">
        <v>980</v>
      </c>
      <c r="G2614" s="1">
        <v>673577</v>
      </c>
      <c r="H2614" s="1">
        <v>69.75</v>
      </c>
    </row>
    <row r="2615" spans="1:8" ht="21.75" customHeight="1">
      <c r="A2615" s="1" t="str">
        <f>"IN30177413685533"</f>
        <v>IN30177413685533</v>
      </c>
      <c r="B2615" s="1" t="s">
        <v>9624</v>
      </c>
      <c r="C2615" s="1" t="s">
        <v>9625</v>
      </c>
      <c r="D2615" s="1" t="s">
        <v>9626</v>
      </c>
      <c r="E2615" s="1" t="s">
        <v>9627</v>
      </c>
      <c r="F2615" s="1"/>
      <c r="G2615" s="1">
        <v>673585</v>
      </c>
      <c r="H2615" s="1">
        <v>17.25</v>
      </c>
    </row>
    <row r="2616" spans="1:8" ht="21.75" customHeight="1">
      <c r="A2616" s="1" t="str">
        <f>"1201090012682554"</f>
        <v>1201090012682554</v>
      </c>
      <c r="B2616" s="1" t="s">
        <v>9628</v>
      </c>
      <c r="C2616" s="1" t="s">
        <v>9629</v>
      </c>
      <c r="D2616" s="1" t="s">
        <v>9630</v>
      </c>
      <c r="E2616" s="1" t="s">
        <v>980</v>
      </c>
      <c r="F2616" s="1" t="s">
        <v>980</v>
      </c>
      <c r="G2616" s="1">
        <v>673591</v>
      </c>
      <c r="H2616" s="1">
        <v>11.25</v>
      </c>
    </row>
    <row r="2617" spans="1:8" ht="21.75" customHeight="1">
      <c r="A2617" s="1" t="str">
        <f>"IN30039417442380"</f>
        <v>IN30039417442380</v>
      </c>
      <c r="B2617" s="1" t="s">
        <v>9631</v>
      </c>
      <c r="C2617" s="1" t="s">
        <v>9632</v>
      </c>
      <c r="D2617" s="1" t="s">
        <v>9633</v>
      </c>
      <c r="E2617" s="1" t="s">
        <v>9634</v>
      </c>
      <c r="F2617" s="1"/>
      <c r="G2617" s="1">
        <v>673591</v>
      </c>
      <c r="H2617" s="1">
        <v>37.5</v>
      </c>
    </row>
    <row r="2618" spans="1:8" ht="21.75" customHeight="1">
      <c r="A2618" s="1" t="str">
        <f>"1201090012681926"</f>
        <v>1201090012681926</v>
      </c>
      <c r="B2618" s="1" t="s">
        <v>9635</v>
      </c>
      <c r="C2618" s="1" t="s">
        <v>9636</v>
      </c>
      <c r="D2618" s="1" t="s">
        <v>9637</v>
      </c>
      <c r="E2618" s="1" t="s">
        <v>9638</v>
      </c>
      <c r="F2618" s="1" t="s">
        <v>980</v>
      </c>
      <c r="G2618" s="1">
        <v>673592</v>
      </c>
      <c r="H2618" s="1">
        <v>15</v>
      </c>
    </row>
    <row r="2619" spans="1:8" ht="21.75" customHeight="1">
      <c r="A2619" s="1" t="str">
        <f>"1204470005672131"</f>
        <v>1204470005672131</v>
      </c>
      <c r="B2619" s="1" t="s">
        <v>9639</v>
      </c>
      <c r="C2619" s="1" t="s">
        <v>9640</v>
      </c>
      <c r="D2619" s="1" t="s">
        <v>9641</v>
      </c>
      <c r="E2619" s="1"/>
      <c r="F2619" s="1" t="s">
        <v>980</v>
      </c>
      <c r="G2619" s="1">
        <v>673592</v>
      </c>
      <c r="H2619" s="1">
        <v>0.75</v>
      </c>
    </row>
    <row r="2620" spans="1:8" ht="21.75" customHeight="1">
      <c r="A2620" s="1" t="str">
        <f>"IN30039416459399"</f>
        <v>IN30039416459399</v>
      </c>
      <c r="B2620" s="1" t="s">
        <v>9642</v>
      </c>
      <c r="C2620" s="1" t="s">
        <v>9643</v>
      </c>
      <c r="D2620" s="1" t="s">
        <v>9644</v>
      </c>
      <c r="E2620" s="1" t="s">
        <v>9645</v>
      </c>
      <c r="F2620" s="1"/>
      <c r="G2620" s="1">
        <v>673596</v>
      </c>
      <c r="H2620" s="1">
        <v>45.75</v>
      </c>
    </row>
    <row r="2621" spans="1:8" ht="21.75" customHeight="1">
      <c r="A2621" s="1" t="str">
        <f>"1201860000141351"</f>
        <v>1201860000141351</v>
      </c>
      <c r="B2621" s="1" t="s">
        <v>9646</v>
      </c>
      <c r="C2621" s="1" t="s">
        <v>9647</v>
      </c>
      <c r="D2621" s="1" t="s">
        <v>9648</v>
      </c>
      <c r="E2621" s="1" t="s">
        <v>9649</v>
      </c>
      <c r="F2621" s="1" t="s">
        <v>443</v>
      </c>
      <c r="G2621" s="1">
        <v>673602</v>
      </c>
      <c r="H2621" s="1">
        <v>3.75</v>
      </c>
    </row>
    <row r="2622" spans="1:8" ht="21.75" customHeight="1">
      <c r="A2622" s="1" t="str">
        <f>"1201860000147288"</f>
        <v>1201860000147288</v>
      </c>
      <c r="B2622" s="1" t="s">
        <v>9650</v>
      </c>
      <c r="C2622" s="1" t="s">
        <v>9651</v>
      </c>
      <c r="D2622" s="1" t="s">
        <v>9652</v>
      </c>
      <c r="E2622" s="1" t="s">
        <v>9653</v>
      </c>
      <c r="F2622" s="1" t="s">
        <v>438</v>
      </c>
      <c r="G2622" s="1">
        <v>673602</v>
      </c>
      <c r="H2622" s="1">
        <v>154.5</v>
      </c>
    </row>
    <row r="2623" spans="1:8" ht="21.75" customHeight="1">
      <c r="A2623" s="1" t="str">
        <f>"IN30136410100110"</f>
        <v>IN30136410100110</v>
      </c>
      <c r="B2623" s="1" t="s">
        <v>9654</v>
      </c>
      <c r="C2623" s="1" t="s">
        <v>9655</v>
      </c>
      <c r="D2623" s="1" t="s">
        <v>9656</v>
      </c>
      <c r="E2623" s="1" t="s">
        <v>9657</v>
      </c>
      <c r="F2623" s="1"/>
      <c r="G2623" s="1">
        <v>673603</v>
      </c>
      <c r="H2623" s="1">
        <v>9</v>
      </c>
    </row>
    <row r="2624" spans="1:8" ht="21.75" customHeight="1">
      <c r="A2624" s="1" t="str">
        <f>"IN30181110136744"</f>
        <v>IN30181110136744</v>
      </c>
      <c r="B2624" s="1" t="s">
        <v>9658</v>
      </c>
      <c r="C2624" s="1" t="s">
        <v>9659</v>
      </c>
      <c r="D2624" s="1" t="s">
        <v>9660</v>
      </c>
      <c r="E2624" s="1" t="s">
        <v>9661</v>
      </c>
      <c r="F2624" s="1"/>
      <c r="G2624" s="1">
        <v>673612</v>
      </c>
      <c r="H2624" s="1">
        <v>64.5</v>
      </c>
    </row>
    <row r="2625" spans="1:8" ht="21.75" customHeight="1">
      <c r="A2625" s="1" t="str">
        <f>"IN30226913690587"</f>
        <v>IN30226913690587</v>
      </c>
      <c r="B2625" s="1" t="s">
        <v>9662</v>
      </c>
      <c r="C2625" s="1" t="s">
        <v>9663</v>
      </c>
      <c r="D2625" s="1" t="s">
        <v>9664</v>
      </c>
      <c r="E2625" s="1" t="s">
        <v>509</v>
      </c>
      <c r="F2625" s="1"/>
      <c r="G2625" s="1">
        <v>673613</v>
      </c>
      <c r="H2625" s="1">
        <v>243.75</v>
      </c>
    </row>
    <row r="2626" spans="1:8" ht="21.75" customHeight="1">
      <c r="A2626" s="1" t="str">
        <f>"IN30039418094908"</f>
        <v>IN30039418094908</v>
      </c>
      <c r="B2626" s="1" t="s">
        <v>9665</v>
      </c>
      <c r="C2626" s="1" t="s">
        <v>9666</v>
      </c>
      <c r="D2626" s="1" t="s">
        <v>9667</v>
      </c>
      <c r="E2626" s="1" t="s">
        <v>9668</v>
      </c>
      <c r="F2626" s="1"/>
      <c r="G2626" s="1">
        <v>673616</v>
      </c>
      <c r="H2626" s="1">
        <v>3.75</v>
      </c>
    </row>
    <row r="2627" spans="1:8" ht="21.75" customHeight="1">
      <c r="A2627" s="1" t="str">
        <f>"1204760000152143"</f>
        <v>1204760000152143</v>
      </c>
      <c r="B2627" s="1" t="s">
        <v>9669</v>
      </c>
      <c r="C2627" s="1" t="s">
        <v>9670</v>
      </c>
      <c r="D2627" s="1" t="s">
        <v>9671</v>
      </c>
      <c r="E2627" s="1" t="s">
        <v>9672</v>
      </c>
      <c r="F2627" s="1" t="s">
        <v>438</v>
      </c>
      <c r="G2627" s="1">
        <v>673617</v>
      </c>
      <c r="H2627" s="1">
        <v>6.75</v>
      </c>
    </row>
    <row r="2628" spans="1:8" ht="21.75" customHeight="1">
      <c r="A2628" s="1" t="str">
        <f>"1201090012816596"</f>
        <v>1201090012816596</v>
      </c>
      <c r="B2628" s="1" t="s">
        <v>9673</v>
      </c>
      <c r="C2628" s="1" t="s">
        <v>9674</v>
      </c>
      <c r="D2628" s="1" t="s">
        <v>9675</v>
      </c>
      <c r="E2628" s="1" t="s">
        <v>9676</v>
      </c>
      <c r="F2628" s="1" t="s">
        <v>443</v>
      </c>
      <c r="G2628" s="1">
        <v>673620</v>
      </c>
      <c r="H2628" s="1">
        <v>30</v>
      </c>
    </row>
    <row r="2629" spans="1:8" ht="21.75" customHeight="1">
      <c r="A2629" s="1" t="str">
        <f>"1205670000187271"</f>
        <v>1205670000187271</v>
      </c>
      <c r="B2629" s="1" t="s">
        <v>9677</v>
      </c>
      <c r="C2629" s="1" t="s">
        <v>9678</v>
      </c>
      <c r="D2629" s="1" t="s">
        <v>9679</v>
      </c>
      <c r="E2629" s="1" t="s">
        <v>9680</v>
      </c>
      <c r="F2629" s="1" t="s">
        <v>438</v>
      </c>
      <c r="G2629" s="1">
        <v>673631</v>
      </c>
      <c r="H2629" s="1">
        <v>22.5</v>
      </c>
    </row>
    <row r="2630" spans="1:8" ht="21.75" customHeight="1">
      <c r="A2630" s="1" t="str">
        <f>"1202980000131299"</f>
        <v>1202980000131299</v>
      </c>
      <c r="B2630" s="1" t="s">
        <v>9681</v>
      </c>
      <c r="C2630" s="1" t="s">
        <v>9682</v>
      </c>
      <c r="D2630" s="1" t="s">
        <v>9683</v>
      </c>
      <c r="E2630" s="1"/>
      <c r="F2630" s="1" t="s">
        <v>438</v>
      </c>
      <c r="G2630" s="1">
        <v>673633</v>
      </c>
      <c r="H2630" s="1">
        <v>22.5</v>
      </c>
    </row>
    <row r="2631" spans="1:8" ht="21.75" customHeight="1">
      <c r="A2631" s="1" t="str">
        <f>"IN30039416367579"</f>
        <v>IN30039416367579</v>
      </c>
      <c r="B2631" s="1" t="s">
        <v>9684</v>
      </c>
      <c r="C2631" s="1" t="s">
        <v>9685</v>
      </c>
      <c r="D2631" s="1" t="s">
        <v>9686</v>
      </c>
      <c r="E2631" s="1" t="s">
        <v>9687</v>
      </c>
      <c r="F2631" s="1"/>
      <c r="G2631" s="1">
        <v>673639</v>
      </c>
      <c r="H2631" s="1">
        <v>7.5</v>
      </c>
    </row>
    <row r="2632" spans="1:8" ht="21.75" customHeight="1">
      <c r="A2632" s="1" t="str">
        <f>"1202890000816372"</f>
        <v>1202890000816372</v>
      </c>
      <c r="B2632" s="1" t="s">
        <v>9689</v>
      </c>
      <c r="C2632" s="1" t="s">
        <v>9690</v>
      </c>
      <c r="D2632" s="1" t="s">
        <v>9691</v>
      </c>
      <c r="E2632" s="1" t="s">
        <v>9692</v>
      </c>
      <c r="F2632" s="1" t="s">
        <v>447</v>
      </c>
      <c r="G2632" s="1">
        <v>673639</v>
      </c>
      <c r="H2632" s="1">
        <v>120</v>
      </c>
    </row>
    <row r="2633" spans="1:8" ht="21.75" customHeight="1">
      <c r="A2633" s="1" t="str">
        <f>"IN30023913435317"</f>
        <v>IN30023913435317</v>
      </c>
      <c r="B2633" s="1" t="s">
        <v>9693</v>
      </c>
      <c r="C2633" s="1" t="s">
        <v>9694</v>
      </c>
      <c r="D2633" s="1" t="s">
        <v>9695</v>
      </c>
      <c r="E2633" s="1" t="s">
        <v>9696</v>
      </c>
      <c r="F2633" s="1"/>
      <c r="G2633" s="1">
        <v>673639</v>
      </c>
      <c r="H2633" s="1">
        <v>0.75</v>
      </c>
    </row>
    <row r="2634" spans="1:8" ht="21.75" customHeight="1">
      <c r="A2634" s="1" t="str">
        <f>"1201090012803521"</f>
        <v>1201090012803521</v>
      </c>
      <c r="B2634" s="1" t="s">
        <v>9698</v>
      </c>
      <c r="C2634" s="1" t="s">
        <v>9699</v>
      </c>
      <c r="D2634" s="1" t="s">
        <v>9700</v>
      </c>
      <c r="E2634" s="1" t="s">
        <v>9701</v>
      </c>
      <c r="F2634" s="1" t="s">
        <v>9688</v>
      </c>
      <c r="G2634" s="1">
        <v>673639</v>
      </c>
      <c r="H2634" s="1">
        <v>2.25</v>
      </c>
    </row>
    <row r="2635" spans="1:8" ht="21.75" customHeight="1">
      <c r="A2635" s="1" t="str">
        <f>"IN30226913435874"</f>
        <v>IN30226913435874</v>
      </c>
      <c r="B2635" s="1" t="s">
        <v>9702</v>
      </c>
      <c r="C2635" s="1" t="s">
        <v>9703</v>
      </c>
      <c r="D2635" s="1" t="s">
        <v>9704</v>
      </c>
      <c r="E2635" s="1" t="s">
        <v>9705</v>
      </c>
      <c r="F2635" s="1"/>
      <c r="G2635" s="1">
        <v>673639</v>
      </c>
      <c r="H2635" s="1">
        <v>25.5</v>
      </c>
    </row>
    <row r="2636" spans="1:8" ht="21.75" customHeight="1">
      <c r="A2636" s="1" t="str">
        <f>"1203350000083128"</f>
        <v>1203350000083128</v>
      </c>
      <c r="B2636" s="1" t="s">
        <v>9706</v>
      </c>
      <c r="C2636" s="1" t="s">
        <v>9707</v>
      </c>
      <c r="D2636" s="1" t="s">
        <v>9708</v>
      </c>
      <c r="E2636" s="1" t="s">
        <v>9709</v>
      </c>
      <c r="F2636" s="1" t="s">
        <v>447</v>
      </c>
      <c r="G2636" s="1">
        <v>673641</v>
      </c>
      <c r="H2636" s="1">
        <v>300</v>
      </c>
    </row>
    <row r="2637" spans="1:8" ht="21.75" customHeight="1">
      <c r="A2637" s="1" t="str">
        <f>"IN30023912866222"</f>
        <v>IN30023912866222</v>
      </c>
      <c r="B2637" s="1" t="s">
        <v>9710</v>
      </c>
      <c r="C2637" s="1" t="s">
        <v>9711</v>
      </c>
      <c r="D2637" s="1" t="s">
        <v>9712</v>
      </c>
      <c r="E2637" s="1" t="s">
        <v>9713</v>
      </c>
      <c r="F2637" s="1"/>
      <c r="G2637" s="1">
        <v>673643</v>
      </c>
      <c r="H2637" s="1">
        <v>375</v>
      </c>
    </row>
    <row r="2638" spans="1:8" ht="21.75" customHeight="1">
      <c r="A2638" s="1" t="str">
        <f>"1201090012657202"</f>
        <v>1201090012657202</v>
      </c>
      <c r="B2638" s="1" t="s">
        <v>9714</v>
      </c>
      <c r="C2638" s="1" t="s">
        <v>9715</v>
      </c>
      <c r="D2638" s="1" t="s">
        <v>9716</v>
      </c>
      <c r="E2638" s="1" t="s">
        <v>9717</v>
      </c>
      <c r="F2638" s="1" t="s">
        <v>447</v>
      </c>
      <c r="G2638" s="1">
        <v>676101</v>
      </c>
      <c r="H2638" s="1">
        <v>38.25</v>
      </c>
    </row>
    <row r="2639" spans="1:8" ht="21.75" customHeight="1">
      <c r="A2639" s="1" t="str">
        <f>"IN30045013953954"</f>
        <v>IN30045013953954</v>
      </c>
      <c r="B2639" s="1" t="s">
        <v>9718</v>
      </c>
      <c r="C2639" s="1" t="s">
        <v>9719</v>
      </c>
      <c r="D2639" s="1" t="s">
        <v>9720</v>
      </c>
      <c r="E2639" s="1" t="s">
        <v>9721</v>
      </c>
      <c r="F2639" s="1"/>
      <c r="G2639" s="1">
        <v>676121</v>
      </c>
      <c r="H2639" s="1">
        <v>75</v>
      </c>
    </row>
    <row r="2640" spans="1:8" ht="21.75" customHeight="1">
      <c r="A2640" s="1" t="str">
        <f>"IN30023910633719"</f>
        <v>IN30023910633719</v>
      </c>
      <c r="B2640" s="1" t="s">
        <v>9722</v>
      </c>
      <c r="C2640" s="1" t="s">
        <v>9723</v>
      </c>
      <c r="D2640" s="1" t="s">
        <v>9724</v>
      </c>
      <c r="E2640" s="1" t="s">
        <v>9725</v>
      </c>
      <c r="F2640" s="1"/>
      <c r="G2640" s="1">
        <v>676122</v>
      </c>
      <c r="H2640" s="1">
        <v>1125</v>
      </c>
    </row>
    <row r="2641" spans="1:8" ht="21.75" customHeight="1">
      <c r="A2641" s="1" t="str">
        <f>"IN30189510280676"</f>
        <v>IN30189510280676</v>
      </c>
      <c r="B2641" s="1" t="s">
        <v>9726</v>
      </c>
      <c r="C2641" s="1" t="s">
        <v>9727</v>
      </c>
      <c r="D2641" s="1" t="s">
        <v>9728</v>
      </c>
      <c r="E2641" s="1" t="s">
        <v>9729</v>
      </c>
      <c r="F2641" s="1"/>
      <c r="G2641" s="1">
        <v>676123</v>
      </c>
      <c r="H2641" s="1">
        <v>204</v>
      </c>
    </row>
    <row r="2642" spans="1:8" ht="21.75" customHeight="1">
      <c r="A2642" s="1" t="str">
        <f>"1205670000185686"</f>
        <v>1205670000185686</v>
      </c>
      <c r="B2642" s="1" t="s">
        <v>9730</v>
      </c>
      <c r="C2642" s="1" t="s">
        <v>9731</v>
      </c>
      <c r="D2642" s="1" t="s">
        <v>9732</v>
      </c>
      <c r="E2642" s="1" t="s">
        <v>9733</v>
      </c>
      <c r="F2642" s="1" t="s">
        <v>447</v>
      </c>
      <c r="G2642" s="1">
        <v>676123</v>
      </c>
      <c r="H2642" s="1">
        <v>7.5</v>
      </c>
    </row>
    <row r="2643" spans="1:8" ht="21.75" customHeight="1">
      <c r="A2643" s="1" t="str">
        <f>"1204470002905100"</f>
        <v>1204470002905100</v>
      </c>
      <c r="B2643" s="1" t="s">
        <v>9734</v>
      </c>
      <c r="C2643" s="1" t="s">
        <v>9735</v>
      </c>
      <c r="D2643" s="1" t="s">
        <v>9736</v>
      </c>
      <c r="E2643" s="1"/>
      <c r="F2643" s="1" t="s">
        <v>9697</v>
      </c>
      <c r="G2643" s="1">
        <v>676123</v>
      </c>
      <c r="H2643" s="1">
        <v>150</v>
      </c>
    </row>
    <row r="2644" spans="1:8" ht="21.75" customHeight="1">
      <c r="A2644" s="1" t="str">
        <f>"1204760000070187"</f>
        <v>1204760000070187</v>
      </c>
      <c r="B2644" s="1" t="s">
        <v>9737</v>
      </c>
      <c r="C2644" s="1" t="s">
        <v>9738</v>
      </c>
      <c r="D2644" s="1" t="s">
        <v>9739</v>
      </c>
      <c r="E2644" s="1"/>
      <c r="F2644" s="1" t="s">
        <v>9740</v>
      </c>
      <c r="G2644" s="1">
        <v>676302</v>
      </c>
      <c r="H2644" s="1">
        <v>112.5</v>
      </c>
    </row>
    <row r="2645" spans="1:8" ht="21.75" customHeight="1">
      <c r="A2645" s="1" t="str">
        <f>"1204760000157783"</f>
        <v>1204760000157783</v>
      </c>
      <c r="B2645" s="1" t="s">
        <v>9741</v>
      </c>
      <c r="C2645" s="1" t="s">
        <v>9742</v>
      </c>
      <c r="D2645" s="1" t="s">
        <v>9743</v>
      </c>
      <c r="E2645" s="1"/>
      <c r="F2645" s="1" t="s">
        <v>447</v>
      </c>
      <c r="G2645" s="1">
        <v>676319</v>
      </c>
      <c r="H2645" s="1">
        <v>67.5</v>
      </c>
    </row>
    <row r="2646" spans="1:8" ht="21.75" customHeight="1">
      <c r="A2646" s="1" t="str">
        <f>"1204760000247311"</f>
        <v>1204760000247311</v>
      </c>
      <c r="B2646" s="1" t="s">
        <v>9744</v>
      </c>
      <c r="C2646" s="1" t="s">
        <v>9745</v>
      </c>
      <c r="D2646" s="1" t="s">
        <v>9746</v>
      </c>
      <c r="E2646" s="1" t="s">
        <v>9747</v>
      </c>
      <c r="F2646" s="1" t="s">
        <v>447</v>
      </c>
      <c r="G2646" s="1">
        <v>676319</v>
      </c>
      <c r="H2646" s="1">
        <v>315</v>
      </c>
    </row>
    <row r="2647" spans="1:8" ht="21.75" customHeight="1">
      <c r="A2647" s="1" t="str">
        <f>"1201090012592751"</f>
        <v>1201090012592751</v>
      </c>
      <c r="B2647" s="1" t="s">
        <v>9748</v>
      </c>
      <c r="C2647" s="1" t="s">
        <v>9749</v>
      </c>
      <c r="D2647" s="1" t="s">
        <v>9750</v>
      </c>
      <c r="E2647" s="1"/>
      <c r="F2647" s="1" t="s">
        <v>447</v>
      </c>
      <c r="G2647" s="1">
        <v>676528</v>
      </c>
      <c r="H2647" s="1">
        <v>656.75</v>
      </c>
    </row>
    <row r="2648" spans="1:8" ht="21.75" customHeight="1">
      <c r="A2648" s="1" t="str">
        <f>"IN30023913331519"</f>
        <v>IN30023913331519</v>
      </c>
      <c r="B2648" s="1" t="s">
        <v>9751</v>
      </c>
      <c r="C2648" s="1" t="s">
        <v>9749</v>
      </c>
      <c r="D2648" s="1" t="s">
        <v>9752</v>
      </c>
      <c r="E2648" s="1" t="s">
        <v>9753</v>
      </c>
      <c r="F2648" s="1"/>
      <c r="G2648" s="1">
        <v>676528</v>
      </c>
      <c r="H2648" s="1">
        <v>562.5</v>
      </c>
    </row>
    <row r="2649" spans="1:8" ht="21.75" customHeight="1">
      <c r="A2649" s="1" t="str">
        <f>"1204760000138327"</f>
        <v>1204760000138327</v>
      </c>
      <c r="B2649" s="1" t="s">
        <v>9754</v>
      </c>
      <c r="C2649" s="1" t="s">
        <v>9755</v>
      </c>
      <c r="D2649" s="1" t="s">
        <v>9756</v>
      </c>
      <c r="E2649" s="1"/>
      <c r="F2649" s="1" t="s">
        <v>447</v>
      </c>
      <c r="G2649" s="1">
        <v>676551</v>
      </c>
      <c r="H2649" s="1">
        <v>75</v>
      </c>
    </row>
    <row r="2650" spans="1:8" ht="21.75" customHeight="1">
      <c r="A2650" s="1" t="str">
        <f>"IN30039415831915"</f>
        <v>IN30039415831915</v>
      </c>
      <c r="B2650" s="1" t="s">
        <v>9757</v>
      </c>
      <c r="C2650" s="1">
        <v>511</v>
      </c>
      <c r="D2650" s="1" t="s">
        <v>9758</v>
      </c>
      <c r="E2650" s="1" t="s">
        <v>9759</v>
      </c>
      <c r="F2650" s="1"/>
      <c r="G2650" s="1">
        <v>676552</v>
      </c>
      <c r="H2650" s="1">
        <v>15</v>
      </c>
    </row>
    <row r="2651" spans="1:8" ht="21.75" customHeight="1">
      <c r="A2651" s="1" t="str">
        <f>"1203320007580745"</f>
        <v>1203320007580745</v>
      </c>
      <c r="B2651" s="1" t="s">
        <v>9760</v>
      </c>
      <c r="C2651" s="1" t="s">
        <v>9761</v>
      </c>
      <c r="D2651" s="1" t="s">
        <v>9762</v>
      </c>
      <c r="E2651" s="1"/>
      <c r="F2651" s="1" t="s">
        <v>447</v>
      </c>
      <c r="G2651" s="1">
        <v>676552</v>
      </c>
      <c r="H2651" s="1">
        <v>5.25</v>
      </c>
    </row>
    <row r="2652" spans="1:8" ht="21.75" customHeight="1">
      <c r="A2652" s="1" t="str">
        <f>"IN30226912636206"</f>
        <v>IN30226912636206</v>
      </c>
      <c r="B2652" s="1" t="s">
        <v>9763</v>
      </c>
      <c r="C2652" s="1" t="s">
        <v>9764</v>
      </c>
      <c r="D2652" s="1" t="s">
        <v>9765</v>
      </c>
      <c r="E2652" s="1" t="s">
        <v>9705</v>
      </c>
      <c r="F2652" s="1"/>
      <c r="G2652" s="1">
        <v>676553</v>
      </c>
      <c r="H2652" s="1">
        <v>0.75</v>
      </c>
    </row>
    <row r="2653" spans="1:8" ht="21.75" customHeight="1">
      <c r="A2653" s="1" t="str">
        <f>"IN30226912551229"</f>
        <v>IN30226912551229</v>
      </c>
      <c r="B2653" s="1" t="s">
        <v>9766</v>
      </c>
      <c r="C2653" s="1" t="s">
        <v>9767</v>
      </c>
      <c r="D2653" s="1" t="s">
        <v>9768</v>
      </c>
      <c r="E2653" s="1" t="s">
        <v>509</v>
      </c>
      <c r="F2653" s="1"/>
      <c r="G2653" s="1">
        <v>676553</v>
      </c>
      <c r="H2653" s="1">
        <v>27.75</v>
      </c>
    </row>
    <row r="2654" spans="1:8" ht="21.75" customHeight="1">
      <c r="A2654" s="1" t="str">
        <f>"IN30169611681992"</f>
        <v>IN30169611681992</v>
      </c>
      <c r="B2654" s="1" t="s">
        <v>9769</v>
      </c>
      <c r="C2654" s="1" t="s">
        <v>9770</v>
      </c>
      <c r="D2654" s="1" t="s">
        <v>9771</v>
      </c>
      <c r="E2654" s="1" t="s">
        <v>5136</v>
      </c>
      <c r="F2654" s="1"/>
      <c r="G2654" s="1">
        <v>676553</v>
      </c>
      <c r="H2654" s="1">
        <v>195</v>
      </c>
    </row>
    <row r="2655" spans="1:8" ht="21.75" customHeight="1">
      <c r="A2655" s="1" t="str">
        <f>"1304140006877875"</f>
        <v>1304140006877875</v>
      </c>
      <c r="B2655" s="1" t="s">
        <v>9772</v>
      </c>
      <c r="C2655" s="1" t="s">
        <v>9773</v>
      </c>
      <c r="D2655" s="1" t="s">
        <v>9774</v>
      </c>
      <c r="E2655" s="1"/>
      <c r="F2655" s="1" t="s">
        <v>447</v>
      </c>
      <c r="G2655" s="1">
        <v>676705</v>
      </c>
      <c r="H2655" s="1">
        <v>111</v>
      </c>
    </row>
    <row r="2656" spans="1:8" ht="21.75" customHeight="1">
      <c r="A2656" s="1" t="str">
        <f>"IN30169610646822"</f>
        <v>IN30169610646822</v>
      </c>
      <c r="B2656" s="1" t="s">
        <v>9775</v>
      </c>
      <c r="C2656" s="1" t="s">
        <v>9776</v>
      </c>
      <c r="D2656" s="1" t="s">
        <v>9777</v>
      </c>
      <c r="E2656" s="1" t="s">
        <v>9778</v>
      </c>
      <c r="F2656" s="1"/>
      <c r="G2656" s="1">
        <v>678001</v>
      </c>
      <c r="H2656" s="1">
        <v>393.75</v>
      </c>
    </row>
    <row r="2657" spans="1:8" ht="21.75" customHeight="1">
      <c r="A2657" s="1" t="str">
        <f>"IN30089610472454"</f>
        <v>IN30089610472454</v>
      </c>
      <c r="B2657" s="1" t="s">
        <v>9779</v>
      </c>
      <c r="C2657" s="1" t="s">
        <v>9780</v>
      </c>
      <c r="D2657" s="1" t="s">
        <v>9781</v>
      </c>
      <c r="E2657" s="1" t="s">
        <v>9782</v>
      </c>
      <c r="F2657" s="1"/>
      <c r="G2657" s="1">
        <v>678001</v>
      </c>
      <c r="H2657" s="1">
        <v>15</v>
      </c>
    </row>
    <row r="2658" spans="1:8" ht="21.75" customHeight="1">
      <c r="A2658" s="1" t="str">
        <f>"1204760000175186"</f>
        <v>1204760000175186</v>
      </c>
      <c r="B2658" s="1" t="s">
        <v>9783</v>
      </c>
      <c r="C2658" s="1" t="s">
        <v>9784</v>
      </c>
      <c r="D2658" s="1" t="s">
        <v>9785</v>
      </c>
      <c r="E2658" s="1"/>
      <c r="F2658" s="1" t="s">
        <v>462</v>
      </c>
      <c r="G2658" s="1">
        <v>678004</v>
      </c>
      <c r="H2658" s="1">
        <v>7.5</v>
      </c>
    </row>
    <row r="2659" spans="1:8" ht="21.75" customHeight="1">
      <c r="A2659" s="1" t="str">
        <f>"1204470005281284"</f>
        <v>1204470005281284</v>
      </c>
      <c r="B2659" s="1" t="s">
        <v>9786</v>
      </c>
      <c r="C2659" s="1" t="s">
        <v>9787</v>
      </c>
      <c r="D2659" s="1" t="s">
        <v>9788</v>
      </c>
      <c r="E2659" s="1" t="s">
        <v>9789</v>
      </c>
      <c r="F2659" s="1" t="s">
        <v>462</v>
      </c>
      <c r="G2659" s="1">
        <v>678004</v>
      </c>
      <c r="H2659" s="1">
        <v>375</v>
      </c>
    </row>
    <row r="2660" spans="1:8" ht="21.75" customHeight="1">
      <c r="A2660" s="1" t="str">
        <f>"1204470005322862"</f>
        <v>1204470005322862</v>
      </c>
      <c r="B2660" s="1" t="s">
        <v>9790</v>
      </c>
      <c r="C2660" s="1" t="s">
        <v>9791</v>
      </c>
      <c r="D2660" s="1" t="s">
        <v>9792</v>
      </c>
      <c r="E2660" s="1" t="s">
        <v>9793</v>
      </c>
      <c r="F2660" s="1" t="s">
        <v>462</v>
      </c>
      <c r="G2660" s="1">
        <v>678004</v>
      </c>
      <c r="H2660" s="1">
        <v>375</v>
      </c>
    </row>
    <row r="2661" spans="1:8" ht="21.75" customHeight="1">
      <c r="A2661" s="1" t="str">
        <f>"IN30177415427912"</f>
        <v>IN30177415427912</v>
      </c>
      <c r="B2661" s="1" t="s">
        <v>9794</v>
      </c>
      <c r="C2661" s="1" t="s">
        <v>9795</v>
      </c>
      <c r="D2661" s="1" t="s">
        <v>9796</v>
      </c>
      <c r="E2661" s="1" t="s">
        <v>9797</v>
      </c>
      <c r="F2661" s="1"/>
      <c r="G2661" s="1">
        <v>678012</v>
      </c>
      <c r="H2661" s="1">
        <v>174</v>
      </c>
    </row>
    <row r="2662" spans="1:8" ht="21.75" customHeight="1">
      <c r="A2662" s="1" t="str">
        <f>"IN30051318996350"</f>
        <v>IN30051318996350</v>
      </c>
      <c r="B2662" s="1" t="s">
        <v>9798</v>
      </c>
      <c r="C2662" s="1" t="s">
        <v>9799</v>
      </c>
      <c r="D2662" s="1" t="s">
        <v>9800</v>
      </c>
      <c r="E2662" s="1" t="s">
        <v>9801</v>
      </c>
      <c r="F2662" s="1"/>
      <c r="G2662" s="1">
        <v>678012</v>
      </c>
      <c r="H2662" s="1">
        <v>18.75</v>
      </c>
    </row>
    <row r="2663" spans="1:8" ht="21.75" customHeight="1">
      <c r="A2663" s="1" t="str">
        <f>"1202390000309199"</f>
        <v>1202390000309199</v>
      </c>
      <c r="B2663" s="1" t="s">
        <v>9802</v>
      </c>
      <c r="C2663" s="1" t="s">
        <v>9803</v>
      </c>
      <c r="D2663" s="1" t="s">
        <v>9804</v>
      </c>
      <c r="E2663" s="1" t="s">
        <v>9805</v>
      </c>
      <c r="F2663" s="1" t="s">
        <v>462</v>
      </c>
      <c r="G2663" s="1">
        <v>678013</v>
      </c>
      <c r="H2663" s="1">
        <v>7.5</v>
      </c>
    </row>
    <row r="2664" spans="1:8" ht="21.75" customHeight="1">
      <c r="A2664" s="1" t="str">
        <f>"1201090012711694"</f>
        <v>1201090012711694</v>
      </c>
      <c r="B2664" s="1" t="s">
        <v>9806</v>
      </c>
      <c r="C2664" s="1" t="s">
        <v>9807</v>
      </c>
      <c r="D2664" s="1" t="s">
        <v>9808</v>
      </c>
      <c r="E2664" s="1"/>
      <c r="F2664" s="1" t="s">
        <v>462</v>
      </c>
      <c r="G2664" s="1">
        <v>678502</v>
      </c>
      <c r="H2664" s="1">
        <v>97.5</v>
      </c>
    </row>
    <row r="2665" spans="1:8" ht="21.75" customHeight="1">
      <c r="A2665" s="1" t="str">
        <f>"1203280000161057"</f>
        <v>1203280000161057</v>
      </c>
      <c r="B2665" s="1" t="s">
        <v>9809</v>
      </c>
      <c r="C2665" s="1" t="s">
        <v>9810</v>
      </c>
      <c r="D2665" s="1" t="s">
        <v>9811</v>
      </c>
      <c r="E2665" s="1" t="s">
        <v>9812</v>
      </c>
      <c r="F2665" s="1" t="s">
        <v>462</v>
      </c>
      <c r="G2665" s="1">
        <v>678506</v>
      </c>
      <c r="H2665" s="1">
        <v>5.25</v>
      </c>
    </row>
    <row r="2666" spans="1:8" ht="21.75" customHeight="1">
      <c r="A2666" s="1" t="str">
        <f>"1204760000212696"</f>
        <v>1204760000212696</v>
      </c>
      <c r="B2666" s="1" t="s">
        <v>9813</v>
      </c>
      <c r="C2666" s="1" t="s">
        <v>9814</v>
      </c>
      <c r="D2666" s="1" t="s">
        <v>9815</v>
      </c>
      <c r="E2666" s="1"/>
      <c r="F2666" s="1" t="s">
        <v>462</v>
      </c>
      <c r="G2666" s="1">
        <v>678534</v>
      </c>
      <c r="H2666" s="1">
        <v>37.5</v>
      </c>
    </row>
    <row r="2667" spans="1:8" ht="21.75" customHeight="1">
      <c r="A2667" s="1" t="str">
        <f>"1201090012816786"</f>
        <v>1201090012816786</v>
      </c>
      <c r="B2667" s="1" t="s">
        <v>9816</v>
      </c>
      <c r="C2667" s="1" t="s">
        <v>9817</v>
      </c>
      <c r="D2667" s="1" t="s">
        <v>754</v>
      </c>
      <c r="E2667" s="1" t="s">
        <v>4594</v>
      </c>
      <c r="F2667" s="1" t="s">
        <v>462</v>
      </c>
      <c r="G2667" s="1">
        <v>678541</v>
      </c>
      <c r="H2667" s="1">
        <v>22.5</v>
      </c>
    </row>
    <row r="2668" spans="1:8" ht="21.75" customHeight="1">
      <c r="A2668" s="1" t="str">
        <f>"IN30163741431931"</f>
        <v>IN30163741431931</v>
      </c>
      <c r="B2668" s="1" t="s">
        <v>9818</v>
      </c>
      <c r="C2668" s="1" t="s">
        <v>9819</v>
      </c>
      <c r="D2668" s="1" t="s">
        <v>9820</v>
      </c>
      <c r="E2668" s="1" t="s">
        <v>9821</v>
      </c>
      <c r="F2668" s="1"/>
      <c r="G2668" s="1">
        <v>678543</v>
      </c>
      <c r="H2668" s="1">
        <v>6.75</v>
      </c>
    </row>
    <row r="2669" spans="1:8" ht="21.75" customHeight="1">
      <c r="A2669" s="1" t="str">
        <f>"1203840000773656"</f>
        <v>1203840000773656</v>
      </c>
      <c r="B2669" s="1" t="s">
        <v>9822</v>
      </c>
      <c r="C2669" s="1" t="s">
        <v>9823</v>
      </c>
      <c r="D2669" s="1" t="s">
        <v>9824</v>
      </c>
      <c r="E2669" s="1" t="s">
        <v>9825</v>
      </c>
      <c r="F2669" s="1" t="s">
        <v>462</v>
      </c>
      <c r="G2669" s="1">
        <v>678545</v>
      </c>
      <c r="H2669" s="1">
        <v>375</v>
      </c>
    </row>
    <row r="2670" spans="1:8" ht="21.75" customHeight="1">
      <c r="A2670" s="1" t="str">
        <f>"IN30163740499882"</f>
        <v>IN30163740499882</v>
      </c>
      <c r="B2670" s="1" t="s">
        <v>9826</v>
      </c>
      <c r="C2670" s="1" t="s">
        <v>9827</v>
      </c>
      <c r="D2670" s="1" t="s">
        <v>9828</v>
      </c>
      <c r="E2670" s="1" t="s">
        <v>9829</v>
      </c>
      <c r="F2670" s="1"/>
      <c r="G2670" s="1">
        <v>678553</v>
      </c>
      <c r="H2670" s="1">
        <v>18.75</v>
      </c>
    </row>
    <row r="2671" spans="1:8" ht="21.75" customHeight="1">
      <c r="A2671" s="1" t="str">
        <f>"1205670000170779"</f>
        <v>1205670000170779</v>
      </c>
      <c r="B2671" s="1" t="s">
        <v>9830</v>
      </c>
      <c r="C2671" s="1" t="s">
        <v>9831</v>
      </c>
      <c r="D2671" s="1" t="s">
        <v>9832</v>
      </c>
      <c r="E2671" s="1" t="s">
        <v>9833</v>
      </c>
      <c r="F2671" s="1" t="s">
        <v>462</v>
      </c>
      <c r="G2671" s="1">
        <v>678553</v>
      </c>
      <c r="H2671" s="1">
        <v>1.5</v>
      </c>
    </row>
    <row r="2672" spans="1:8" ht="21.75" customHeight="1">
      <c r="A2672" s="1" t="str">
        <f>"IN30334010018337"</f>
        <v>IN30334010018337</v>
      </c>
      <c r="B2672" s="1" t="s">
        <v>9834</v>
      </c>
      <c r="C2672" s="1" t="s">
        <v>9835</v>
      </c>
      <c r="D2672" s="1" t="s">
        <v>9836</v>
      </c>
      <c r="E2672" s="1" t="s">
        <v>9837</v>
      </c>
      <c r="F2672" s="1"/>
      <c r="G2672" s="1">
        <v>678571</v>
      </c>
      <c r="H2672" s="1">
        <v>3.75</v>
      </c>
    </row>
    <row r="2673" spans="1:8" ht="21.75" customHeight="1">
      <c r="A2673" s="1" t="str">
        <f>"IN30177415640847"</f>
        <v>IN30177415640847</v>
      </c>
      <c r="B2673" s="1" t="s">
        <v>9838</v>
      </c>
      <c r="C2673" s="1" t="s">
        <v>9839</v>
      </c>
      <c r="D2673" s="1" t="s">
        <v>9840</v>
      </c>
      <c r="E2673" s="1" t="s">
        <v>462</v>
      </c>
      <c r="F2673" s="1"/>
      <c r="G2673" s="1">
        <v>678583</v>
      </c>
      <c r="H2673" s="1">
        <v>1488</v>
      </c>
    </row>
    <row r="2674" spans="1:8" ht="21.75" customHeight="1">
      <c r="A2674" s="1" t="str">
        <f>"IN30163741049776"</f>
        <v>IN30163741049776</v>
      </c>
      <c r="B2674" s="1" t="s">
        <v>9841</v>
      </c>
      <c r="C2674" s="1" t="s">
        <v>9842</v>
      </c>
      <c r="D2674" s="1" t="s">
        <v>9843</v>
      </c>
      <c r="E2674" s="1" t="s">
        <v>9844</v>
      </c>
      <c r="F2674" s="1"/>
      <c r="G2674" s="1">
        <v>678611</v>
      </c>
      <c r="H2674" s="1">
        <v>70.5</v>
      </c>
    </row>
    <row r="2675" spans="1:8" ht="21.75" customHeight="1">
      <c r="A2675" s="1" t="str">
        <f>"IN30163740788227"</f>
        <v>IN30163740788227</v>
      </c>
      <c r="B2675" s="1" t="s">
        <v>9845</v>
      </c>
      <c r="C2675" s="1" t="s">
        <v>9846</v>
      </c>
      <c r="D2675" s="1" t="s">
        <v>9847</v>
      </c>
      <c r="E2675" s="1" t="s">
        <v>9844</v>
      </c>
      <c r="F2675" s="1"/>
      <c r="G2675" s="1">
        <v>678616</v>
      </c>
      <c r="H2675" s="1">
        <v>15</v>
      </c>
    </row>
    <row r="2676" spans="1:8" ht="21.75" customHeight="1">
      <c r="A2676" s="1" t="str">
        <f>"IN30163740828672"</f>
        <v>IN30163740828672</v>
      </c>
      <c r="B2676" s="1" t="s">
        <v>9848</v>
      </c>
      <c r="C2676" s="1" t="s">
        <v>9849</v>
      </c>
      <c r="D2676" s="1" t="s">
        <v>9850</v>
      </c>
      <c r="E2676" s="1" t="s">
        <v>462</v>
      </c>
      <c r="F2676" s="1"/>
      <c r="G2676" s="1">
        <v>678623</v>
      </c>
      <c r="H2676" s="1">
        <v>75</v>
      </c>
    </row>
    <row r="2677" spans="1:8" ht="21.75" customHeight="1">
      <c r="A2677" s="1" t="str">
        <f>"IN30163740002249"</f>
        <v>IN30163740002249</v>
      </c>
      <c r="B2677" s="1" t="s">
        <v>9851</v>
      </c>
      <c r="C2677" s="1" t="s">
        <v>9852</v>
      </c>
      <c r="D2677" s="1" t="s">
        <v>462</v>
      </c>
      <c r="E2677" s="1" t="s">
        <v>9853</v>
      </c>
      <c r="F2677" s="1"/>
      <c r="G2677" s="1">
        <v>678623</v>
      </c>
      <c r="H2677" s="1">
        <v>3.75</v>
      </c>
    </row>
    <row r="2678" spans="1:8" ht="21.75" customHeight="1">
      <c r="A2678" s="1" t="str">
        <f>"IN30163740853264"</f>
        <v>IN30163740853264</v>
      </c>
      <c r="B2678" s="1" t="s">
        <v>9854</v>
      </c>
      <c r="C2678" s="1" t="s">
        <v>9855</v>
      </c>
      <c r="D2678" s="1" t="s">
        <v>9856</v>
      </c>
      <c r="E2678" s="1" t="s">
        <v>9857</v>
      </c>
      <c r="F2678" s="1"/>
      <c r="G2678" s="1">
        <v>678685</v>
      </c>
      <c r="H2678" s="1">
        <v>91.5</v>
      </c>
    </row>
    <row r="2679" spans="1:8" ht="21.75" customHeight="1">
      <c r="A2679" s="1" t="str">
        <f>"1204760000180764"</f>
        <v>1204760000180764</v>
      </c>
      <c r="B2679" s="1" t="s">
        <v>9858</v>
      </c>
      <c r="C2679" s="1" t="s">
        <v>9859</v>
      </c>
      <c r="D2679" s="1" t="s">
        <v>9860</v>
      </c>
      <c r="E2679" s="1" t="s">
        <v>9539</v>
      </c>
      <c r="F2679" s="1" t="s">
        <v>462</v>
      </c>
      <c r="G2679" s="1">
        <v>679101</v>
      </c>
      <c r="H2679" s="1">
        <v>187.5</v>
      </c>
    </row>
    <row r="2680" spans="1:8" ht="21.75" customHeight="1">
      <c r="A2680" s="1" t="str">
        <f>"1202300000899354"</f>
        <v>1202300000899354</v>
      </c>
      <c r="B2680" s="1" t="s">
        <v>9861</v>
      </c>
      <c r="C2680" s="1" t="s">
        <v>9862</v>
      </c>
      <c r="D2680" s="1" t="s">
        <v>9863</v>
      </c>
      <c r="E2680" s="1" t="s">
        <v>9864</v>
      </c>
      <c r="F2680" s="1" t="s">
        <v>462</v>
      </c>
      <c r="G2680" s="1">
        <v>679103</v>
      </c>
      <c r="H2680" s="1">
        <v>147</v>
      </c>
    </row>
    <row r="2681" spans="1:8" ht="21.75" customHeight="1">
      <c r="A2681" s="1" t="str">
        <f>"1204470001042059"</f>
        <v>1204470001042059</v>
      </c>
      <c r="B2681" s="1" t="s">
        <v>9865</v>
      </c>
      <c r="C2681" s="1" t="s">
        <v>9866</v>
      </c>
      <c r="D2681" s="1" t="s">
        <v>9867</v>
      </c>
      <c r="E2681" s="1" t="s">
        <v>9868</v>
      </c>
      <c r="F2681" s="1" t="s">
        <v>462</v>
      </c>
      <c r="G2681" s="1">
        <v>679104</v>
      </c>
      <c r="H2681" s="1">
        <v>16.5</v>
      </c>
    </row>
    <row r="2682" spans="1:8" ht="21.75" customHeight="1">
      <c r="A2682" s="1" t="str">
        <f>"IN30023910197698"</f>
        <v>IN30023910197698</v>
      </c>
      <c r="B2682" s="1" t="s">
        <v>9869</v>
      </c>
      <c r="C2682" s="1" t="s">
        <v>9870</v>
      </c>
      <c r="D2682" s="1" t="s">
        <v>9871</v>
      </c>
      <c r="E2682" s="1" t="s">
        <v>9872</v>
      </c>
      <c r="F2682" s="1"/>
      <c r="G2682" s="1">
        <v>679322</v>
      </c>
      <c r="H2682" s="1">
        <v>10.5</v>
      </c>
    </row>
    <row r="2683" spans="1:8" ht="21.75" customHeight="1">
      <c r="A2683" s="1" t="str">
        <f>"1204760000233408"</f>
        <v>1204760000233408</v>
      </c>
      <c r="B2683" s="1" t="s">
        <v>9873</v>
      </c>
      <c r="C2683" s="1" t="s">
        <v>9874</v>
      </c>
      <c r="D2683" s="1" t="s">
        <v>9875</v>
      </c>
      <c r="E2683" s="1" t="s">
        <v>9876</v>
      </c>
      <c r="F2683" s="1" t="s">
        <v>447</v>
      </c>
      <c r="G2683" s="1">
        <v>679323</v>
      </c>
      <c r="H2683" s="1">
        <v>90</v>
      </c>
    </row>
    <row r="2684" spans="1:8" ht="21.75" customHeight="1">
      <c r="A2684" s="1" t="str">
        <f>"IN30169612158672"</f>
        <v>IN30169612158672</v>
      </c>
      <c r="B2684" s="1" t="s">
        <v>9877</v>
      </c>
      <c r="C2684" s="1" t="s">
        <v>9878</v>
      </c>
      <c r="D2684" s="1" t="s">
        <v>9879</v>
      </c>
      <c r="E2684" s="1" t="s">
        <v>9880</v>
      </c>
      <c r="F2684" s="1"/>
      <c r="G2684" s="1">
        <v>679323</v>
      </c>
      <c r="H2684" s="1">
        <v>82.5</v>
      </c>
    </row>
    <row r="2685" spans="1:8" ht="21.75" customHeight="1">
      <c r="A2685" s="1" t="str">
        <f>"1202980000294082"</f>
        <v>1202980000294082</v>
      </c>
      <c r="B2685" s="1" t="s">
        <v>9881</v>
      </c>
      <c r="C2685" s="1" t="s">
        <v>9882</v>
      </c>
      <c r="D2685" s="1" t="s">
        <v>9883</v>
      </c>
      <c r="E2685" s="1" t="s">
        <v>9884</v>
      </c>
      <c r="F2685" s="1" t="s">
        <v>447</v>
      </c>
      <c r="G2685" s="1">
        <v>679324</v>
      </c>
      <c r="H2685" s="1">
        <v>150</v>
      </c>
    </row>
    <row r="2686" spans="1:8" ht="21.75" customHeight="1">
      <c r="A2686" s="1" t="str">
        <f>"1204470002775325"</f>
        <v>1204470002775325</v>
      </c>
      <c r="B2686" s="1" t="s">
        <v>9885</v>
      </c>
      <c r="C2686" s="1" t="s">
        <v>9886</v>
      </c>
      <c r="D2686" s="1" t="s">
        <v>9887</v>
      </c>
      <c r="E2686" s="1" t="s">
        <v>9880</v>
      </c>
      <c r="F2686" s="1" t="s">
        <v>9888</v>
      </c>
      <c r="G2686" s="1">
        <v>679325</v>
      </c>
      <c r="H2686" s="1">
        <v>56.25</v>
      </c>
    </row>
    <row r="2687" spans="1:8" ht="21.75" customHeight="1">
      <c r="A2687" s="1" t="str">
        <f>"1202980000063554"</f>
        <v>1202980000063554</v>
      </c>
      <c r="B2687" s="1" t="s">
        <v>9889</v>
      </c>
      <c r="C2687" s="1" t="s">
        <v>9890</v>
      </c>
      <c r="D2687" s="1" t="s">
        <v>9891</v>
      </c>
      <c r="E2687" s="1" t="s">
        <v>9892</v>
      </c>
      <c r="F2687" s="1" t="s">
        <v>447</v>
      </c>
      <c r="G2687" s="1">
        <v>679325</v>
      </c>
      <c r="H2687" s="1">
        <v>90</v>
      </c>
    </row>
    <row r="2688" spans="1:8" ht="21.75" customHeight="1">
      <c r="A2688" s="1" t="str">
        <f>"IN30177414452901"</f>
        <v>IN30177414452901</v>
      </c>
      <c r="B2688" s="1" t="s">
        <v>9893</v>
      </c>
      <c r="C2688" s="1" t="s">
        <v>9894</v>
      </c>
      <c r="D2688" s="1" t="s">
        <v>9895</v>
      </c>
      <c r="E2688" s="1" t="s">
        <v>457</v>
      </c>
      <c r="F2688" s="1"/>
      <c r="G2688" s="1">
        <v>679326</v>
      </c>
      <c r="H2688" s="1">
        <v>555</v>
      </c>
    </row>
    <row r="2689" spans="1:8" ht="21.75" customHeight="1">
      <c r="A2689" s="1" t="str">
        <f>"IN30189510153866"</f>
        <v>IN30189510153866</v>
      </c>
      <c r="B2689" s="1" t="s">
        <v>9896</v>
      </c>
      <c r="C2689" s="1" t="s">
        <v>9897</v>
      </c>
      <c r="D2689" s="1" t="s">
        <v>9898</v>
      </c>
      <c r="E2689" s="1" t="s">
        <v>9899</v>
      </c>
      <c r="F2689" s="1"/>
      <c r="G2689" s="1">
        <v>679326</v>
      </c>
      <c r="H2689" s="1">
        <v>225</v>
      </c>
    </row>
    <row r="2690" spans="1:8" ht="21.75" customHeight="1">
      <c r="A2690" s="1" t="str">
        <f>"1201910101107813"</f>
        <v>1201910101107813</v>
      </c>
      <c r="B2690" s="1" t="s">
        <v>9900</v>
      </c>
      <c r="C2690" s="1" t="s">
        <v>9901</v>
      </c>
      <c r="D2690" s="1" t="s">
        <v>9902</v>
      </c>
      <c r="E2690" s="1"/>
      <c r="F2690" s="1" t="s">
        <v>447</v>
      </c>
      <c r="G2690" s="1">
        <v>679331</v>
      </c>
      <c r="H2690" s="1">
        <v>78</v>
      </c>
    </row>
    <row r="2691" spans="1:8" ht="21.75" customHeight="1">
      <c r="A2691" s="1" t="str">
        <f>"IN30189510864062"</f>
        <v>IN30189510864062</v>
      </c>
      <c r="B2691" s="1" t="s">
        <v>9903</v>
      </c>
      <c r="C2691" s="1" t="s">
        <v>9904</v>
      </c>
      <c r="D2691" s="1" t="s">
        <v>9905</v>
      </c>
      <c r="E2691" s="1" t="s">
        <v>9906</v>
      </c>
      <c r="F2691" s="1"/>
      <c r="G2691" s="1">
        <v>679339</v>
      </c>
      <c r="H2691" s="1">
        <v>0.75</v>
      </c>
    </row>
    <row r="2692" spans="1:8" ht="21.75" customHeight="1">
      <c r="A2692" s="1" t="str">
        <f>"1205670000418459"</f>
        <v>1205670000418459</v>
      </c>
      <c r="B2692" s="1" t="s">
        <v>9907</v>
      </c>
      <c r="C2692" s="1" t="s">
        <v>9908</v>
      </c>
      <c r="D2692" s="1" t="s">
        <v>9909</v>
      </c>
      <c r="E2692" s="1" t="s">
        <v>457</v>
      </c>
      <c r="F2692" s="1" t="s">
        <v>447</v>
      </c>
      <c r="G2692" s="1">
        <v>679357</v>
      </c>
      <c r="H2692" s="1">
        <v>7.5</v>
      </c>
    </row>
    <row r="2693" spans="1:8" ht="21.75" customHeight="1">
      <c r="A2693" s="1" t="str">
        <f>"1204760000104988"</f>
        <v>1204760000104988</v>
      </c>
      <c r="B2693" s="1" t="s">
        <v>9910</v>
      </c>
      <c r="C2693" s="1" t="s">
        <v>9911</v>
      </c>
      <c r="D2693" s="1" t="s">
        <v>9912</v>
      </c>
      <c r="E2693" s="1" t="s">
        <v>9913</v>
      </c>
      <c r="F2693" s="1" t="s">
        <v>462</v>
      </c>
      <c r="G2693" s="1">
        <v>679501</v>
      </c>
      <c r="H2693" s="1">
        <v>75</v>
      </c>
    </row>
    <row r="2694" spans="1:8" ht="21.75" customHeight="1">
      <c r="A2694" s="1" t="str">
        <f>"IN30021416745459"</f>
        <v>IN30021416745459</v>
      </c>
      <c r="B2694" s="1" t="s">
        <v>9914</v>
      </c>
      <c r="C2694" s="1" t="s">
        <v>9915</v>
      </c>
      <c r="D2694" s="1" t="s">
        <v>9539</v>
      </c>
      <c r="E2694" s="1" t="s">
        <v>9801</v>
      </c>
      <c r="F2694" s="1"/>
      <c r="G2694" s="1">
        <v>679502</v>
      </c>
      <c r="H2694" s="1">
        <v>37.5</v>
      </c>
    </row>
    <row r="2695" spans="1:8" ht="21.75" customHeight="1">
      <c r="A2695" s="1" t="str">
        <f>"IN30163741084607"</f>
        <v>IN30163741084607</v>
      </c>
      <c r="B2695" s="1" t="s">
        <v>9916</v>
      </c>
      <c r="C2695" s="1" t="s">
        <v>9917</v>
      </c>
      <c r="D2695" s="1" t="s">
        <v>9918</v>
      </c>
      <c r="E2695" s="1" t="s">
        <v>9919</v>
      </c>
      <c r="F2695" s="1"/>
      <c r="G2695" s="1">
        <v>679511</v>
      </c>
      <c r="H2695" s="1">
        <v>11.25</v>
      </c>
    </row>
    <row r="2696" spans="1:8" ht="21.75" customHeight="1">
      <c r="A2696" s="1" t="str">
        <f>"IN30163740892655"</f>
        <v>IN30163740892655</v>
      </c>
      <c r="B2696" s="1" t="s">
        <v>9920</v>
      </c>
      <c r="C2696" s="1" t="s">
        <v>9921</v>
      </c>
      <c r="D2696" s="1" t="s">
        <v>9922</v>
      </c>
      <c r="E2696" s="1" t="s">
        <v>9923</v>
      </c>
      <c r="F2696" s="1"/>
      <c r="G2696" s="1">
        <v>679523</v>
      </c>
      <c r="H2696" s="1">
        <v>0.75</v>
      </c>
    </row>
    <row r="2697" spans="1:8" ht="21.75" customHeight="1">
      <c r="A2697" s="1" t="str">
        <f>"1204760000206612"</f>
        <v>1204760000206612</v>
      </c>
      <c r="B2697" s="1" t="s">
        <v>9924</v>
      </c>
      <c r="C2697" s="1" t="s">
        <v>9925</v>
      </c>
      <c r="D2697" s="1" t="s">
        <v>9926</v>
      </c>
      <c r="E2697" s="1"/>
      <c r="F2697" s="1" t="s">
        <v>462</v>
      </c>
      <c r="G2697" s="1">
        <v>679533</v>
      </c>
      <c r="H2697" s="1">
        <v>75</v>
      </c>
    </row>
    <row r="2698" spans="1:8" ht="21.75" customHeight="1">
      <c r="A2698" s="1" t="str">
        <f>"1204760000165885"</f>
        <v>1204760000165885</v>
      </c>
      <c r="B2698" s="1" t="s">
        <v>9927</v>
      </c>
      <c r="C2698" s="1" t="s">
        <v>9928</v>
      </c>
      <c r="D2698" s="1" t="s">
        <v>9929</v>
      </c>
      <c r="E2698" s="1" t="s">
        <v>9930</v>
      </c>
      <c r="F2698" s="1" t="s">
        <v>462</v>
      </c>
      <c r="G2698" s="1">
        <v>679533</v>
      </c>
      <c r="H2698" s="1">
        <v>75</v>
      </c>
    </row>
    <row r="2699" spans="1:8" ht="21.75" customHeight="1">
      <c r="A2699" s="1" t="str">
        <f>"IN30169612176165"</f>
        <v>IN30169612176165</v>
      </c>
      <c r="B2699" s="1" t="s">
        <v>9931</v>
      </c>
      <c r="C2699" s="1" t="s">
        <v>9932</v>
      </c>
      <c r="D2699" s="1" t="s">
        <v>9933</v>
      </c>
      <c r="E2699" s="1" t="s">
        <v>9934</v>
      </c>
      <c r="F2699" s="1"/>
      <c r="G2699" s="1">
        <v>679534</v>
      </c>
      <c r="H2699" s="1">
        <v>105</v>
      </c>
    </row>
    <row r="2700" spans="1:8" ht="21.75" customHeight="1">
      <c r="A2700" s="1" t="str">
        <f>"1204760000196470"</f>
        <v>1204760000196470</v>
      </c>
      <c r="B2700" s="1" t="s">
        <v>9935</v>
      </c>
      <c r="C2700" s="1" t="s">
        <v>9936</v>
      </c>
      <c r="D2700" s="1" t="s">
        <v>9937</v>
      </c>
      <c r="E2700" s="1" t="s">
        <v>9938</v>
      </c>
      <c r="F2700" s="1" t="s">
        <v>462</v>
      </c>
      <c r="G2700" s="1">
        <v>679536</v>
      </c>
      <c r="H2700" s="1">
        <v>150</v>
      </c>
    </row>
    <row r="2701" spans="1:8" ht="21.75" customHeight="1">
      <c r="A2701" s="1" t="str">
        <f>"1204760000015336"</f>
        <v>1204760000015336</v>
      </c>
      <c r="B2701" s="1" t="s">
        <v>9939</v>
      </c>
      <c r="C2701" s="1" t="s">
        <v>9940</v>
      </c>
      <c r="D2701" s="1" t="s">
        <v>9941</v>
      </c>
      <c r="E2701" s="1"/>
      <c r="F2701" s="1" t="s">
        <v>462</v>
      </c>
      <c r="G2701" s="1">
        <v>679536</v>
      </c>
      <c r="H2701" s="1">
        <v>300</v>
      </c>
    </row>
    <row r="2702" spans="1:8" ht="21.75" customHeight="1">
      <c r="A2702" s="1" t="str">
        <f>"IN30169611354772"</f>
        <v>IN30169611354772</v>
      </c>
      <c r="B2702" s="1" t="s">
        <v>9942</v>
      </c>
      <c r="C2702" s="1">
        <v>296</v>
      </c>
      <c r="D2702" s="1" t="s">
        <v>9943</v>
      </c>
      <c r="E2702" s="1" t="s">
        <v>9944</v>
      </c>
      <c r="F2702" s="1"/>
      <c r="G2702" s="1">
        <v>679537</v>
      </c>
      <c r="H2702" s="1">
        <v>10.5</v>
      </c>
    </row>
    <row r="2703" spans="1:8" ht="21.75" customHeight="1">
      <c r="A2703" s="1" t="str">
        <f>"1202390000185786"</f>
        <v>1202390000185786</v>
      </c>
      <c r="B2703" s="1" t="s">
        <v>9945</v>
      </c>
      <c r="C2703" s="1" t="s">
        <v>9946</v>
      </c>
      <c r="D2703" s="1" t="s">
        <v>9947</v>
      </c>
      <c r="E2703" s="1"/>
      <c r="F2703" s="1" t="s">
        <v>37</v>
      </c>
      <c r="G2703" s="1">
        <v>679562</v>
      </c>
      <c r="H2703" s="1">
        <v>1.5</v>
      </c>
    </row>
    <row r="2704" spans="1:8" ht="21.75" customHeight="1">
      <c r="A2704" s="1" t="str">
        <f>"1204760000227088"</f>
        <v>1204760000227088</v>
      </c>
      <c r="B2704" s="1" t="s">
        <v>9948</v>
      </c>
      <c r="C2704" s="1" t="s">
        <v>9949</v>
      </c>
      <c r="D2704" s="1" t="s">
        <v>9950</v>
      </c>
      <c r="E2704" s="1" t="s">
        <v>9951</v>
      </c>
      <c r="F2704" s="1" t="s">
        <v>42</v>
      </c>
      <c r="G2704" s="1">
        <v>679563</v>
      </c>
      <c r="H2704" s="1">
        <v>7.5</v>
      </c>
    </row>
    <row r="2705" spans="1:8" ht="21.75" customHeight="1">
      <c r="A2705" s="1" t="str">
        <f>"IN30163740331202"</f>
        <v>IN30163740331202</v>
      </c>
      <c r="B2705" s="1" t="s">
        <v>9952</v>
      </c>
      <c r="C2705" s="1" t="s">
        <v>9953</v>
      </c>
      <c r="D2705" s="1" t="s">
        <v>9954</v>
      </c>
      <c r="E2705" s="1" t="s">
        <v>9955</v>
      </c>
      <c r="F2705" s="1"/>
      <c r="G2705" s="1">
        <v>679564</v>
      </c>
      <c r="H2705" s="1">
        <v>750</v>
      </c>
    </row>
    <row r="2706" spans="1:8" ht="21.75" customHeight="1">
      <c r="A2706" s="1" t="str">
        <f>"IN30163740246492"</f>
        <v>IN30163740246492</v>
      </c>
      <c r="B2706" s="1" t="s">
        <v>9957</v>
      </c>
      <c r="C2706" s="1" t="s">
        <v>9958</v>
      </c>
      <c r="D2706" s="1" t="s">
        <v>9959</v>
      </c>
      <c r="E2706" s="1" t="s">
        <v>42</v>
      </c>
      <c r="F2706" s="1"/>
      <c r="G2706" s="1">
        <v>679564</v>
      </c>
      <c r="H2706" s="1">
        <v>39.75</v>
      </c>
    </row>
    <row r="2707" spans="1:8" ht="21.75" customHeight="1">
      <c r="A2707" s="1" t="str">
        <f>"1204760000175887"</f>
        <v>1204760000175887</v>
      </c>
      <c r="B2707" s="1" t="s">
        <v>9960</v>
      </c>
      <c r="C2707" s="1" t="s">
        <v>9961</v>
      </c>
      <c r="D2707" s="1" t="s">
        <v>9962</v>
      </c>
      <c r="E2707" s="1"/>
      <c r="F2707" s="1" t="s">
        <v>9963</v>
      </c>
      <c r="G2707" s="1">
        <v>679577</v>
      </c>
      <c r="H2707" s="1">
        <v>24</v>
      </c>
    </row>
    <row r="2708" spans="1:8" ht="21.75" customHeight="1">
      <c r="A2708" s="1" t="str">
        <f>"IN30163740525028"</f>
        <v>IN30163740525028</v>
      </c>
      <c r="B2708" s="1" t="s">
        <v>9964</v>
      </c>
      <c r="C2708" s="1" t="s">
        <v>9965</v>
      </c>
      <c r="D2708" s="1" t="s">
        <v>9966</v>
      </c>
      <c r="E2708" s="1" t="s">
        <v>9963</v>
      </c>
      <c r="F2708" s="1"/>
      <c r="G2708" s="1">
        <v>679577</v>
      </c>
      <c r="H2708" s="1">
        <v>75</v>
      </c>
    </row>
    <row r="2709" spans="1:8" ht="21.75" customHeight="1">
      <c r="A2709" s="1" t="str">
        <f>"IN30089610462908"</f>
        <v>IN30089610462908</v>
      </c>
      <c r="B2709" s="1" t="s">
        <v>9967</v>
      </c>
      <c r="C2709" s="1" t="s">
        <v>9968</v>
      </c>
      <c r="D2709" s="1" t="s">
        <v>9969</v>
      </c>
      <c r="E2709" s="1" t="s">
        <v>9970</v>
      </c>
      <c r="F2709" s="1"/>
      <c r="G2709" s="1">
        <v>679582</v>
      </c>
      <c r="H2709" s="1">
        <v>300</v>
      </c>
    </row>
    <row r="2710" spans="1:8" ht="21.75" customHeight="1">
      <c r="A2710" s="1" t="str">
        <f>"IN30089610470975"</f>
        <v>IN30089610470975</v>
      </c>
      <c r="B2710" s="1" t="s">
        <v>9971</v>
      </c>
      <c r="C2710" s="1" t="s">
        <v>9972</v>
      </c>
      <c r="D2710" s="1" t="s">
        <v>9973</v>
      </c>
      <c r="E2710" s="1" t="s">
        <v>9974</v>
      </c>
      <c r="F2710" s="1"/>
      <c r="G2710" s="1">
        <v>679582</v>
      </c>
      <c r="H2710" s="1">
        <v>111</v>
      </c>
    </row>
    <row r="2711" spans="1:8" ht="21.75" customHeight="1">
      <c r="A2711" s="1" t="str">
        <f>"1201090012718161"</f>
        <v>1201090012718161</v>
      </c>
      <c r="B2711" s="1" t="s">
        <v>9975</v>
      </c>
      <c r="C2711" s="1" t="s">
        <v>9976</v>
      </c>
      <c r="D2711" s="1" t="s">
        <v>9977</v>
      </c>
      <c r="E2711" s="1" t="s">
        <v>9978</v>
      </c>
      <c r="F2711" s="1" t="s">
        <v>447</v>
      </c>
      <c r="G2711" s="1">
        <v>679586</v>
      </c>
      <c r="H2711" s="1">
        <v>57</v>
      </c>
    </row>
    <row r="2712" spans="1:8" ht="21.75" customHeight="1">
      <c r="A2712" s="1" t="str">
        <f>"IN30039413530398"</f>
        <v>IN30039413530398</v>
      </c>
      <c r="B2712" s="1" t="s">
        <v>9979</v>
      </c>
      <c r="C2712" s="1" t="s">
        <v>9980</v>
      </c>
      <c r="D2712" s="1" t="s">
        <v>9981</v>
      </c>
      <c r="E2712" s="1" t="s">
        <v>9982</v>
      </c>
      <c r="F2712" s="1"/>
      <c r="G2712" s="1">
        <v>679587</v>
      </c>
      <c r="H2712" s="1">
        <v>37.5</v>
      </c>
    </row>
    <row r="2713" spans="1:8" ht="21.75" customHeight="1">
      <c r="A2713" s="1" t="str">
        <f>"1202390000151596"</f>
        <v>1202390000151596</v>
      </c>
      <c r="B2713" s="1" t="s">
        <v>9983</v>
      </c>
      <c r="C2713" s="1" t="s">
        <v>9984</v>
      </c>
      <c r="D2713" s="1" t="s">
        <v>9985</v>
      </c>
      <c r="E2713" s="1"/>
      <c r="F2713" s="1" t="s">
        <v>37</v>
      </c>
      <c r="G2713" s="1">
        <v>680001</v>
      </c>
      <c r="H2713" s="1">
        <v>15</v>
      </c>
    </row>
    <row r="2714" spans="1:8" ht="21.75" customHeight="1">
      <c r="A2714" s="1" t="str">
        <f>"IN30163741101419"</f>
        <v>IN30163741101419</v>
      </c>
      <c r="B2714" s="1" t="s">
        <v>9986</v>
      </c>
      <c r="C2714" s="1" t="s">
        <v>9987</v>
      </c>
      <c r="D2714" s="1" t="s">
        <v>9988</v>
      </c>
      <c r="E2714" s="1" t="s">
        <v>9989</v>
      </c>
      <c r="F2714" s="1"/>
      <c r="G2714" s="1">
        <v>680001</v>
      </c>
      <c r="H2714" s="1">
        <v>2.25</v>
      </c>
    </row>
    <row r="2715" spans="1:8" ht="21.75" customHeight="1">
      <c r="A2715" s="1" t="str">
        <f>"IN30189510253674"</f>
        <v>IN30189510253674</v>
      </c>
      <c r="B2715" s="1" t="s">
        <v>9990</v>
      </c>
      <c r="C2715" s="1" t="s">
        <v>9991</v>
      </c>
      <c r="D2715" s="1" t="s">
        <v>9992</v>
      </c>
      <c r="E2715" s="1" t="s">
        <v>5168</v>
      </c>
      <c r="F2715" s="1"/>
      <c r="G2715" s="1">
        <v>680001</v>
      </c>
      <c r="H2715" s="1">
        <v>5.25</v>
      </c>
    </row>
    <row r="2716" spans="1:8" ht="21.75" customHeight="1">
      <c r="A2716" s="1" t="str">
        <f>"003485"</f>
        <v>003485</v>
      </c>
      <c r="B2716" s="1" t="s">
        <v>9993</v>
      </c>
      <c r="C2716" s="1" t="s">
        <v>9994</v>
      </c>
      <c r="D2716" s="1" t="s">
        <v>42</v>
      </c>
      <c r="E2716" s="1" t="s">
        <v>9995</v>
      </c>
      <c r="F2716" s="1" t="s">
        <v>37</v>
      </c>
      <c r="G2716" s="1">
        <v>680001</v>
      </c>
      <c r="H2716" s="1">
        <v>1200</v>
      </c>
    </row>
    <row r="2717" spans="1:8" ht="21.75" customHeight="1">
      <c r="A2717" s="1" t="str">
        <f>"1201090004147447"</f>
        <v>1201090004147447</v>
      </c>
      <c r="B2717" s="1" t="s">
        <v>9996</v>
      </c>
      <c r="C2717" s="1" t="s">
        <v>9997</v>
      </c>
      <c r="D2717" s="1" t="s">
        <v>9998</v>
      </c>
      <c r="E2717" s="1" t="s">
        <v>9999</v>
      </c>
      <c r="F2717" s="1" t="s">
        <v>42</v>
      </c>
      <c r="G2717" s="1">
        <v>680002</v>
      </c>
      <c r="H2717" s="1">
        <v>165</v>
      </c>
    </row>
    <row r="2718" spans="1:8" ht="21.75" customHeight="1">
      <c r="A2718" s="1" t="str">
        <f>"IN30163741217698"</f>
        <v>IN30163741217698</v>
      </c>
      <c r="B2718" s="1" t="s">
        <v>10000</v>
      </c>
      <c r="C2718" s="1" t="s">
        <v>10001</v>
      </c>
      <c r="D2718" s="1" t="s">
        <v>10002</v>
      </c>
      <c r="E2718" s="1" t="s">
        <v>10003</v>
      </c>
      <c r="F2718" s="1"/>
      <c r="G2718" s="1">
        <v>680002</v>
      </c>
      <c r="H2718" s="1">
        <v>75</v>
      </c>
    </row>
    <row r="2719" spans="1:8" ht="21.75" customHeight="1">
      <c r="A2719" s="1" t="str">
        <f>"IN30163740623282"</f>
        <v>IN30163740623282</v>
      </c>
      <c r="B2719" s="1" t="s">
        <v>10004</v>
      </c>
      <c r="C2719" s="1" t="s">
        <v>10005</v>
      </c>
      <c r="D2719" s="1" t="s">
        <v>5143</v>
      </c>
      <c r="E2719" s="1" t="s">
        <v>37</v>
      </c>
      <c r="F2719" s="1"/>
      <c r="G2719" s="1">
        <v>680002</v>
      </c>
      <c r="H2719" s="1">
        <v>37.5</v>
      </c>
    </row>
    <row r="2720" spans="1:8" ht="21.75" customHeight="1">
      <c r="A2720" s="1" t="str">
        <f>"IN30163740911877"</f>
        <v>IN30163740911877</v>
      </c>
      <c r="B2720" s="1" t="s">
        <v>10006</v>
      </c>
      <c r="C2720" s="1" t="s">
        <v>10007</v>
      </c>
      <c r="D2720" s="1" t="s">
        <v>10008</v>
      </c>
      <c r="E2720" s="1" t="s">
        <v>5140</v>
      </c>
      <c r="F2720" s="1"/>
      <c r="G2720" s="1">
        <v>680002</v>
      </c>
      <c r="H2720" s="1">
        <v>150</v>
      </c>
    </row>
    <row r="2721" spans="1:8" ht="21.75" customHeight="1">
      <c r="A2721" s="1" t="str">
        <f>"IN30163740032572"</f>
        <v>IN30163740032572</v>
      </c>
      <c r="B2721" s="1" t="s">
        <v>10009</v>
      </c>
      <c r="C2721" s="1" t="s">
        <v>10010</v>
      </c>
      <c r="D2721" s="1" t="s">
        <v>5143</v>
      </c>
      <c r="E2721" s="1" t="s">
        <v>10011</v>
      </c>
      <c r="F2721" s="1"/>
      <c r="G2721" s="1">
        <v>680002</v>
      </c>
      <c r="H2721" s="1">
        <v>75</v>
      </c>
    </row>
    <row r="2722" spans="1:8" ht="21.75" customHeight="1">
      <c r="A2722" s="1" t="str">
        <f>"1202390000215877"</f>
        <v>1202390000215877</v>
      </c>
      <c r="B2722" s="1" t="s">
        <v>10012</v>
      </c>
      <c r="C2722" s="1" t="s">
        <v>10013</v>
      </c>
      <c r="D2722" s="1" t="s">
        <v>10014</v>
      </c>
      <c r="E2722" s="1" t="s">
        <v>10015</v>
      </c>
      <c r="F2722" s="1" t="s">
        <v>42</v>
      </c>
      <c r="G2722" s="1">
        <v>680003</v>
      </c>
      <c r="H2722" s="1">
        <v>0.75</v>
      </c>
    </row>
    <row r="2723" spans="1:8" ht="21.75" customHeight="1">
      <c r="A2723" s="1" t="str">
        <f>"IN30051318764343"</f>
        <v>IN30051318764343</v>
      </c>
      <c r="B2723" s="1" t="s">
        <v>10016</v>
      </c>
      <c r="C2723" s="1" t="s">
        <v>10017</v>
      </c>
      <c r="D2723" s="1" t="s">
        <v>10018</v>
      </c>
      <c r="E2723" s="1" t="s">
        <v>10019</v>
      </c>
      <c r="F2723" s="1"/>
      <c r="G2723" s="1">
        <v>680003</v>
      </c>
      <c r="H2723" s="1">
        <v>264.75</v>
      </c>
    </row>
    <row r="2724" spans="1:8" ht="21.75" customHeight="1">
      <c r="A2724" s="1" t="str">
        <f>"IN30163740759875"</f>
        <v>IN30163740759875</v>
      </c>
      <c r="B2724" s="1" t="s">
        <v>10020</v>
      </c>
      <c r="C2724" s="1" t="s">
        <v>10021</v>
      </c>
      <c r="D2724" s="1" t="s">
        <v>10022</v>
      </c>
      <c r="E2724" s="1" t="s">
        <v>10011</v>
      </c>
      <c r="F2724" s="1"/>
      <c r="G2724" s="1">
        <v>680003</v>
      </c>
      <c r="H2724" s="1">
        <v>9.75</v>
      </c>
    </row>
    <row r="2725" spans="1:8" ht="21.75" customHeight="1">
      <c r="A2725" s="1" t="str">
        <f>"IN30226910490972"</f>
        <v>IN30226910490972</v>
      </c>
      <c r="B2725" s="1" t="s">
        <v>10023</v>
      </c>
      <c r="C2725" s="1" t="s">
        <v>10024</v>
      </c>
      <c r="D2725" s="1" t="s">
        <v>10025</v>
      </c>
      <c r="E2725" s="1" t="s">
        <v>10026</v>
      </c>
      <c r="F2725" s="1"/>
      <c r="G2725" s="1">
        <v>680003</v>
      </c>
      <c r="H2725" s="1">
        <v>10.5</v>
      </c>
    </row>
    <row r="2726" spans="1:8" ht="21.75" customHeight="1">
      <c r="A2726" s="1" t="str">
        <f>"1203350000834985"</f>
        <v>1203350000834985</v>
      </c>
      <c r="B2726" s="1" t="s">
        <v>10027</v>
      </c>
      <c r="C2726" s="1" t="s">
        <v>10028</v>
      </c>
      <c r="D2726" s="1" t="s">
        <v>10029</v>
      </c>
      <c r="E2726" s="1"/>
      <c r="F2726" s="1" t="s">
        <v>42</v>
      </c>
      <c r="G2726" s="1">
        <v>680004</v>
      </c>
      <c r="H2726" s="1">
        <v>57</v>
      </c>
    </row>
    <row r="2727" spans="1:8" ht="21.75" customHeight="1">
      <c r="A2727" s="1" t="str">
        <f>"IN30163740262179"</f>
        <v>IN30163740262179</v>
      </c>
      <c r="B2727" s="1" t="s">
        <v>10030</v>
      </c>
      <c r="C2727" s="1" t="s">
        <v>10031</v>
      </c>
      <c r="D2727" s="1" t="s">
        <v>10032</v>
      </c>
      <c r="E2727" s="1" t="s">
        <v>10033</v>
      </c>
      <c r="F2727" s="1"/>
      <c r="G2727" s="1">
        <v>680004</v>
      </c>
      <c r="H2727" s="1">
        <v>75</v>
      </c>
    </row>
    <row r="2728" spans="1:8" ht="21.75" customHeight="1">
      <c r="A2728" s="1" t="str">
        <f>"1204470002478591"</f>
        <v>1204470002478591</v>
      </c>
      <c r="B2728" s="1" t="s">
        <v>10034</v>
      </c>
      <c r="C2728" s="1" t="s">
        <v>10035</v>
      </c>
      <c r="D2728" s="1" t="s">
        <v>42</v>
      </c>
      <c r="E2728" s="1"/>
      <c r="F2728" s="1" t="s">
        <v>37</v>
      </c>
      <c r="G2728" s="1">
        <v>680005</v>
      </c>
      <c r="H2728" s="1">
        <v>299.25</v>
      </c>
    </row>
    <row r="2729" spans="1:8" ht="21.75" customHeight="1">
      <c r="A2729" s="1" t="str">
        <f>"IN30089610502990"</f>
        <v>IN30089610502990</v>
      </c>
      <c r="B2729" s="1" t="s">
        <v>10036</v>
      </c>
      <c r="C2729" s="1" t="s">
        <v>10037</v>
      </c>
      <c r="D2729" s="1" t="s">
        <v>10038</v>
      </c>
      <c r="E2729" s="1" t="s">
        <v>10011</v>
      </c>
      <c r="F2729" s="1"/>
      <c r="G2729" s="1">
        <v>680005</v>
      </c>
      <c r="H2729" s="1">
        <v>66</v>
      </c>
    </row>
    <row r="2730" spans="1:8" ht="21.75" customHeight="1">
      <c r="A2730" s="1" t="str">
        <f>"002798"</f>
        <v>002798</v>
      </c>
      <c r="B2730" s="1" t="s">
        <v>10039</v>
      </c>
      <c r="C2730" s="1" t="s">
        <v>10040</v>
      </c>
      <c r="D2730" s="1" t="s">
        <v>10041</v>
      </c>
      <c r="E2730" s="1" t="s">
        <v>5163</v>
      </c>
      <c r="F2730" s="1" t="s">
        <v>37</v>
      </c>
      <c r="G2730" s="1">
        <v>680006</v>
      </c>
      <c r="H2730" s="1">
        <v>300</v>
      </c>
    </row>
    <row r="2731" spans="1:8" ht="21.75" customHeight="1">
      <c r="A2731" s="1" t="str">
        <f>"IN30163740661202"</f>
        <v>IN30163740661202</v>
      </c>
      <c r="B2731" s="1" t="s">
        <v>10042</v>
      </c>
      <c r="C2731" s="1" t="s">
        <v>10043</v>
      </c>
      <c r="D2731" s="1" t="s">
        <v>10044</v>
      </c>
      <c r="E2731" s="1" t="s">
        <v>10045</v>
      </c>
      <c r="F2731" s="1"/>
      <c r="G2731" s="1">
        <v>680006</v>
      </c>
      <c r="H2731" s="1">
        <v>150</v>
      </c>
    </row>
    <row r="2732" spans="1:8" ht="21.75" customHeight="1">
      <c r="A2732" s="1" t="str">
        <f>"1204470002797822"</f>
        <v>1204470002797822</v>
      </c>
      <c r="B2732" s="1" t="s">
        <v>10046</v>
      </c>
      <c r="C2732" s="1" t="s">
        <v>10047</v>
      </c>
      <c r="D2732" s="1" t="s">
        <v>10048</v>
      </c>
      <c r="E2732" s="1" t="s">
        <v>42</v>
      </c>
      <c r="F2732" s="1" t="s">
        <v>42</v>
      </c>
      <c r="G2732" s="1">
        <v>680008</v>
      </c>
      <c r="H2732" s="1">
        <v>45</v>
      </c>
    </row>
    <row r="2733" spans="1:8" ht="21.75" customHeight="1">
      <c r="A2733" s="1" t="str">
        <f>"IN30163740732926"</f>
        <v>IN30163740732926</v>
      </c>
      <c r="B2733" s="1" t="s">
        <v>10050</v>
      </c>
      <c r="C2733" s="1" t="s">
        <v>10051</v>
      </c>
      <c r="D2733" s="1" t="s">
        <v>10052</v>
      </c>
      <c r="E2733" s="1" t="s">
        <v>42</v>
      </c>
      <c r="F2733" s="1"/>
      <c r="G2733" s="1">
        <v>680009</v>
      </c>
      <c r="H2733" s="1">
        <v>3.75</v>
      </c>
    </row>
    <row r="2734" spans="1:8" ht="21.75" customHeight="1">
      <c r="A2734" s="1" t="str">
        <f>"1204760000079291"</f>
        <v>1204760000079291</v>
      </c>
      <c r="B2734" s="1" t="s">
        <v>10053</v>
      </c>
      <c r="C2734" s="1" t="s">
        <v>10054</v>
      </c>
      <c r="D2734" s="1" t="s">
        <v>10055</v>
      </c>
      <c r="E2734" s="1" t="s">
        <v>10056</v>
      </c>
      <c r="F2734" s="1" t="s">
        <v>42</v>
      </c>
      <c r="G2734" s="1">
        <v>680010</v>
      </c>
      <c r="H2734" s="1">
        <v>15</v>
      </c>
    </row>
    <row r="2735" spans="1:8" ht="21.75" customHeight="1">
      <c r="A2735" s="1" t="str">
        <f>"IN30089610411210"</f>
        <v>IN30089610411210</v>
      </c>
      <c r="B2735" s="1" t="s">
        <v>10057</v>
      </c>
      <c r="C2735" s="1" t="s">
        <v>10058</v>
      </c>
      <c r="D2735" s="1" t="s">
        <v>10059</v>
      </c>
      <c r="E2735" s="1" t="s">
        <v>5223</v>
      </c>
      <c r="F2735" s="1"/>
      <c r="G2735" s="1">
        <v>680010</v>
      </c>
      <c r="H2735" s="1">
        <v>1024.5</v>
      </c>
    </row>
    <row r="2736" spans="1:8" ht="21.75" customHeight="1">
      <c r="A2736" s="1" t="str">
        <f>"IN30089610403053"</f>
        <v>IN30089610403053</v>
      </c>
      <c r="B2736" s="1" t="s">
        <v>10060</v>
      </c>
      <c r="C2736" s="1" t="s">
        <v>10061</v>
      </c>
      <c r="D2736" s="1" t="s">
        <v>10062</v>
      </c>
      <c r="E2736" s="1" t="s">
        <v>5223</v>
      </c>
      <c r="F2736" s="1"/>
      <c r="G2736" s="1">
        <v>680012</v>
      </c>
      <c r="H2736" s="1">
        <v>75</v>
      </c>
    </row>
    <row r="2737" spans="1:8" ht="21.75" customHeight="1">
      <c r="A2737" s="1" t="str">
        <f>"1202390000226834"</f>
        <v>1202390000226834</v>
      </c>
      <c r="B2737" s="1" t="s">
        <v>10063</v>
      </c>
      <c r="C2737" s="1" t="s">
        <v>10064</v>
      </c>
      <c r="D2737" s="1" t="s">
        <v>10065</v>
      </c>
      <c r="E2737" s="1" t="s">
        <v>42</v>
      </c>
      <c r="F2737" s="1" t="s">
        <v>410</v>
      </c>
      <c r="G2737" s="1">
        <v>680013</v>
      </c>
      <c r="H2737" s="1">
        <v>75</v>
      </c>
    </row>
    <row r="2738" spans="1:8" ht="21.75" customHeight="1">
      <c r="A2738" s="1" t="str">
        <f>"IN30189510011773"</f>
        <v>IN30189510011773</v>
      </c>
      <c r="B2738" s="1" t="s">
        <v>10066</v>
      </c>
      <c r="C2738" s="1" t="s">
        <v>10067</v>
      </c>
      <c r="D2738" s="1" t="s">
        <v>10068</v>
      </c>
      <c r="E2738" s="1" t="s">
        <v>10069</v>
      </c>
      <c r="F2738" s="1"/>
      <c r="G2738" s="1">
        <v>680013</v>
      </c>
      <c r="H2738" s="1">
        <v>7.5</v>
      </c>
    </row>
    <row r="2739" spans="1:8" ht="21.75" customHeight="1">
      <c r="A2739" s="1" t="str">
        <f>"1201090003092095"</f>
        <v>1201090003092095</v>
      </c>
      <c r="B2739" s="1" t="s">
        <v>10070</v>
      </c>
      <c r="C2739" s="1" t="s">
        <v>10071</v>
      </c>
      <c r="D2739" s="1" t="s">
        <v>10072</v>
      </c>
      <c r="E2739" s="1" t="s">
        <v>42</v>
      </c>
      <c r="F2739" s="1" t="s">
        <v>42</v>
      </c>
      <c r="G2739" s="1">
        <v>680014</v>
      </c>
      <c r="H2739" s="1">
        <v>60</v>
      </c>
    </row>
    <row r="2740" spans="1:8" ht="21.75" customHeight="1">
      <c r="A2740" s="1" t="str">
        <f>"IN30089610431843"</f>
        <v>IN30089610431843</v>
      </c>
      <c r="B2740" s="1" t="s">
        <v>10073</v>
      </c>
      <c r="C2740" s="1" t="s">
        <v>10074</v>
      </c>
      <c r="D2740" s="1" t="s">
        <v>10075</v>
      </c>
      <c r="E2740" s="1" t="s">
        <v>5257</v>
      </c>
      <c r="F2740" s="1"/>
      <c r="G2740" s="1">
        <v>680016</v>
      </c>
      <c r="H2740" s="1">
        <v>225</v>
      </c>
    </row>
    <row r="2741" spans="1:8" ht="21.75" customHeight="1">
      <c r="A2741" s="1" t="str">
        <f>"1202390000296096"</f>
        <v>1202390000296096</v>
      </c>
      <c r="B2741" s="1" t="s">
        <v>10076</v>
      </c>
      <c r="C2741" s="1" t="s">
        <v>10077</v>
      </c>
      <c r="D2741" s="1" t="s">
        <v>10078</v>
      </c>
      <c r="E2741" s="1"/>
      <c r="F2741" s="1" t="s">
        <v>42</v>
      </c>
      <c r="G2741" s="1">
        <v>680016</v>
      </c>
      <c r="H2741" s="1">
        <v>78.75</v>
      </c>
    </row>
    <row r="2742" spans="1:8" ht="21.75" customHeight="1">
      <c r="A2742" s="1" t="str">
        <f>"1204470003189049"</f>
        <v>1204470003189049</v>
      </c>
      <c r="B2742" s="1" t="s">
        <v>10079</v>
      </c>
      <c r="C2742" s="1" t="s">
        <v>10080</v>
      </c>
      <c r="D2742" s="1" t="s">
        <v>10081</v>
      </c>
      <c r="E2742" s="1" t="s">
        <v>10082</v>
      </c>
      <c r="F2742" s="1" t="s">
        <v>42</v>
      </c>
      <c r="G2742" s="1">
        <v>680018</v>
      </c>
      <c r="H2742" s="1">
        <v>5.25</v>
      </c>
    </row>
    <row r="2743" spans="1:8" ht="21.75" customHeight="1">
      <c r="A2743" s="1" t="str">
        <f>"IN30088813945761"</f>
        <v>IN30088813945761</v>
      </c>
      <c r="B2743" s="1" t="s">
        <v>10083</v>
      </c>
      <c r="C2743" s="1" t="s">
        <v>10084</v>
      </c>
      <c r="D2743" s="1" t="s">
        <v>10085</v>
      </c>
      <c r="E2743" s="1" t="s">
        <v>10086</v>
      </c>
      <c r="F2743" s="1"/>
      <c r="G2743" s="1">
        <v>680020</v>
      </c>
      <c r="H2743" s="1">
        <v>150</v>
      </c>
    </row>
    <row r="2744" spans="1:8" ht="21.75" customHeight="1">
      <c r="A2744" s="1" t="str">
        <f>"1204760000058689"</f>
        <v>1204760000058689</v>
      </c>
      <c r="B2744" s="1" t="s">
        <v>10087</v>
      </c>
      <c r="C2744" s="1" t="s">
        <v>10088</v>
      </c>
      <c r="D2744" s="1" t="s">
        <v>10089</v>
      </c>
      <c r="E2744" s="1" t="s">
        <v>10090</v>
      </c>
      <c r="F2744" s="1" t="s">
        <v>42</v>
      </c>
      <c r="G2744" s="1">
        <v>680020</v>
      </c>
      <c r="H2744" s="1">
        <v>4.5</v>
      </c>
    </row>
    <row r="2745" spans="1:8" ht="21.75" customHeight="1">
      <c r="A2745" s="1" t="str">
        <f>"1204760000135710"</f>
        <v>1204760000135710</v>
      </c>
      <c r="B2745" s="1" t="s">
        <v>10091</v>
      </c>
      <c r="C2745" s="1" t="s">
        <v>10092</v>
      </c>
      <c r="D2745" s="1" t="s">
        <v>10093</v>
      </c>
      <c r="E2745" s="1" t="s">
        <v>10094</v>
      </c>
      <c r="F2745" s="1" t="s">
        <v>42</v>
      </c>
      <c r="G2745" s="1">
        <v>680020</v>
      </c>
      <c r="H2745" s="1">
        <v>18</v>
      </c>
    </row>
    <row r="2746" spans="1:8" ht="21.75" customHeight="1">
      <c r="A2746" s="1" t="str">
        <f>"1201090001302107"</f>
        <v>1201090001302107</v>
      </c>
      <c r="B2746" s="1" t="s">
        <v>10095</v>
      </c>
      <c r="C2746" s="1" t="s">
        <v>10096</v>
      </c>
      <c r="D2746" s="1" t="s">
        <v>10097</v>
      </c>
      <c r="E2746" s="1" t="s">
        <v>10094</v>
      </c>
      <c r="F2746" s="1" t="s">
        <v>42</v>
      </c>
      <c r="G2746" s="1">
        <v>680020</v>
      </c>
      <c r="H2746" s="1">
        <v>150</v>
      </c>
    </row>
    <row r="2747" spans="1:8" ht="21.75" customHeight="1">
      <c r="A2747" s="1" t="str">
        <f>"1204760000203172"</f>
        <v>1204760000203172</v>
      </c>
      <c r="B2747" s="1" t="s">
        <v>10098</v>
      </c>
      <c r="C2747" s="1" t="s">
        <v>10099</v>
      </c>
      <c r="D2747" s="1" t="s">
        <v>10100</v>
      </c>
      <c r="E2747" s="1" t="s">
        <v>10075</v>
      </c>
      <c r="F2747" s="1" t="s">
        <v>42</v>
      </c>
      <c r="G2747" s="1">
        <v>680026</v>
      </c>
      <c r="H2747" s="1">
        <v>18</v>
      </c>
    </row>
    <row r="2748" spans="1:8" ht="21.75" customHeight="1">
      <c r="A2748" s="1" t="str">
        <f>"IN30189510609948"</f>
        <v>IN30189510609948</v>
      </c>
      <c r="B2748" s="1" t="s">
        <v>10101</v>
      </c>
      <c r="C2748" s="1" t="s">
        <v>10102</v>
      </c>
      <c r="D2748" s="1" t="s">
        <v>10103</v>
      </c>
      <c r="E2748" s="1" t="s">
        <v>10104</v>
      </c>
      <c r="F2748" s="1"/>
      <c r="G2748" s="1">
        <v>680101</v>
      </c>
      <c r="H2748" s="1">
        <v>63</v>
      </c>
    </row>
    <row r="2749" spans="1:8" ht="21.75" customHeight="1">
      <c r="A2749" s="1" t="str">
        <f>"1204760000168852"</f>
        <v>1204760000168852</v>
      </c>
      <c r="B2749" s="1" t="s">
        <v>10105</v>
      </c>
      <c r="C2749" s="1" t="s">
        <v>10106</v>
      </c>
      <c r="D2749" s="1" t="s">
        <v>10107</v>
      </c>
      <c r="E2749" s="1"/>
      <c r="F2749" s="1" t="s">
        <v>42</v>
      </c>
      <c r="G2749" s="1">
        <v>680101</v>
      </c>
      <c r="H2749" s="1">
        <v>52.5</v>
      </c>
    </row>
    <row r="2750" spans="1:8" ht="21.75" customHeight="1">
      <c r="A2750" s="1" t="str">
        <f>"1203840001260831"</f>
        <v>1203840001260831</v>
      </c>
      <c r="B2750" s="1" t="s">
        <v>10108</v>
      </c>
      <c r="C2750" s="1" t="s">
        <v>497</v>
      </c>
      <c r="D2750" s="1" t="s">
        <v>10109</v>
      </c>
      <c r="E2750" s="1" t="s">
        <v>10110</v>
      </c>
      <c r="F2750" s="1" t="s">
        <v>42</v>
      </c>
      <c r="G2750" s="1">
        <v>680101</v>
      </c>
      <c r="H2750" s="1">
        <v>204</v>
      </c>
    </row>
    <row r="2751" spans="1:8" ht="21.75" customHeight="1">
      <c r="A2751" s="1" t="str">
        <f>"1202300000810794"</f>
        <v>1202300000810794</v>
      </c>
      <c r="B2751" s="1" t="s">
        <v>10112</v>
      </c>
      <c r="C2751" s="1" t="s">
        <v>10113</v>
      </c>
      <c r="D2751" s="1" t="s">
        <v>10114</v>
      </c>
      <c r="E2751" s="1" t="s">
        <v>10111</v>
      </c>
      <c r="F2751" s="1" t="s">
        <v>42</v>
      </c>
      <c r="G2751" s="1">
        <v>680104</v>
      </c>
      <c r="H2751" s="1">
        <v>210</v>
      </c>
    </row>
    <row r="2752" spans="1:8" ht="21.75" customHeight="1">
      <c r="A2752" s="1" t="str">
        <f>"IN30163740837835"</f>
        <v>IN30163740837835</v>
      </c>
      <c r="B2752" s="1" t="s">
        <v>10115</v>
      </c>
      <c r="C2752" s="1" t="s">
        <v>10116</v>
      </c>
      <c r="D2752" s="1" t="s">
        <v>10117</v>
      </c>
      <c r="E2752" s="1" t="s">
        <v>42</v>
      </c>
      <c r="F2752" s="1"/>
      <c r="G2752" s="1">
        <v>680104</v>
      </c>
      <c r="H2752" s="1">
        <v>28.5</v>
      </c>
    </row>
    <row r="2753" spans="1:8" ht="21.75" customHeight="1">
      <c r="A2753" s="1" t="str">
        <f>"1204760000255865"</f>
        <v>1204760000255865</v>
      </c>
      <c r="B2753" s="1" t="s">
        <v>10118</v>
      </c>
      <c r="C2753" s="1" t="s">
        <v>10119</v>
      </c>
      <c r="D2753" s="1" t="s">
        <v>10117</v>
      </c>
      <c r="E2753" s="1"/>
      <c r="F2753" s="1" t="s">
        <v>487</v>
      </c>
      <c r="G2753" s="1">
        <v>680104</v>
      </c>
      <c r="H2753" s="1">
        <v>75</v>
      </c>
    </row>
    <row r="2754" spans="1:8" ht="21.75" customHeight="1">
      <c r="A2754" s="1" t="str">
        <f>"IN30163740273145"</f>
        <v>IN30163740273145</v>
      </c>
      <c r="B2754" s="1" t="s">
        <v>10120</v>
      </c>
      <c r="C2754" s="1" t="s">
        <v>10121</v>
      </c>
      <c r="D2754" s="1" t="s">
        <v>10122</v>
      </c>
      <c r="E2754" s="1" t="s">
        <v>10123</v>
      </c>
      <c r="F2754" s="1"/>
      <c r="G2754" s="1">
        <v>680121</v>
      </c>
      <c r="H2754" s="1">
        <v>0.75</v>
      </c>
    </row>
    <row r="2755" spans="1:8" ht="21.75" customHeight="1">
      <c r="A2755" s="1" t="str">
        <f>"IN30163740993308"</f>
        <v>IN30163740993308</v>
      </c>
      <c r="B2755" s="1" t="s">
        <v>10124</v>
      </c>
      <c r="C2755" s="1" t="s">
        <v>10125</v>
      </c>
      <c r="D2755" s="1" t="s">
        <v>10126</v>
      </c>
      <c r="E2755" s="1" t="s">
        <v>10127</v>
      </c>
      <c r="F2755" s="1"/>
      <c r="G2755" s="1">
        <v>680121</v>
      </c>
      <c r="H2755" s="1">
        <v>521.25</v>
      </c>
    </row>
    <row r="2756" spans="1:8" ht="21.75" customHeight="1">
      <c r="A2756" s="1" t="str">
        <f>"1202390000268668"</f>
        <v>1202390000268668</v>
      </c>
      <c r="B2756" s="1" t="s">
        <v>10128</v>
      </c>
      <c r="C2756" s="1" t="s">
        <v>10129</v>
      </c>
      <c r="D2756" s="1" t="s">
        <v>10130</v>
      </c>
      <c r="E2756" s="1" t="s">
        <v>5193</v>
      </c>
      <c r="F2756" s="1" t="s">
        <v>42</v>
      </c>
      <c r="G2756" s="1">
        <v>680121</v>
      </c>
      <c r="H2756" s="1">
        <v>23.25</v>
      </c>
    </row>
    <row r="2757" spans="1:8" ht="21.75" customHeight="1">
      <c r="A2757" s="1" t="str">
        <f>"IN30163741455682"</f>
        <v>IN30163741455682</v>
      </c>
      <c r="B2757" s="1" t="s">
        <v>10131</v>
      </c>
      <c r="C2757" s="1" t="s">
        <v>5315</v>
      </c>
      <c r="D2757" s="1" t="s">
        <v>10132</v>
      </c>
      <c r="E2757" s="1" t="s">
        <v>10123</v>
      </c>
      <c r="F2757" s="1"/>
      <c r="G2757" s="1">
        <v>680121</v>
      </c>
      <c r="H2757" s="1">
        <v>423</v>
      </c>
    </row>
    <row r="2758" spans="1:8" ht="21.75" customHeight="1">
      <c r="A2758" s="1" t="str">
        <f>"1203350001147155"</f>
        <v>1203350001147155</v>
      </c>
      <c r="B2758" s="1" t="s">
        <v>10133</v>
      </c>
      <c r="C2758" s="1" t="s">
        <v>10134</v>
      </c>
      <c r="D2758" s="1" t="s">
        <v>10135</v>
      </c>
      <c r="E2758" s="1" t="s">
        <v>547</v>
      </c>
      <c r="F2758" s="1" t="s">
        <v>37</v>
      </c>
      <c r="G2758" s="1">
        <v>680121</v>
      </c>
      <c r="H2758" s="1">
        <v>75</v>
      </c>
    </row>
    <row r="2759" spans="1:8" ht="21.75" customHeight="1">
      <c r="A2759" s="1" t="str">
        <f>"1201090003864947"</f>
        <v>1201090003864947</v>
      </c>
      <c r="B2759" s="1" t="s">
        <v>10136</v>
      </c>
      <c r="C2759" s="1" t="s">
        <v>10137</v>
      </c>
      <c r="D2759" s="1" t="s">
        <v>10138</v>
      </c>
      <c r="E2759" s="1" t="s">
        <v>547</v>
      </c>
      <c r="F2759" s="1" t="s">
        <v>42</v>
      </c>
      <c r="G2759" s="1">
        <v>680121</v>
      </c>
      <c r="H2759" s="1">
        <v>311.25</v>
      </c>
    </row>
    <row r="2760" spans="1:8" ht="21.75" customHeight="1">
      <c r="A2760" s="1" t="str">
        <f>"1204470004092206"</f>
        <v>1204470004092206</v>
      </c>
      <c r="B2760" s="1" t="s">
        <v>10139</v>
      </c>
      <c r="C2760" s="1" t="s">
        <v>10140</v>
      </c>
      <c r="D2760" s="1" t="s">
        <v>547</v>
      </c>
      <c r="E2760" s="1"/>
      <c r="F2760" s="1" t="s">
        <v>42</v>
      </c>
      <c r="G2760" s="1">
        <v>680125</v>
      </c>
      <c r="H2760" s="1">
        <v>43.5</v>
      </c>
    </row>
    <row r="2761" spans="1:8" ht="21.75" customHeight="1">
      <c r="A2761" s="1" t="str">
        <f>"IN30163740718642"</f>
        <v>IN30163740718642</v>
      </c>
      <c r="B2761" s="1" t="s">
        <v>10141</v>
      </c>
      <c r="C2761" s="1" t="s">
        <v>10142</v>
      </c>
      <c r="D2761" s="1" t="s">
        <v>10143</v>
      </c>
      <c r="E2761" s="1" t="s">
        <v>10144</v>
      </c>
      <c r="F2761" s="1"/>
      <c r="G2761" s="1">
        <v>680125</v>
      </c>
      <c r="H2761" s="1">
        <v>75</v>
      </c>
    </row>
    <row r="2762" spans="1:8" ht="21.75" customHeight="1">
      <c r="A2762" s="1" t="str">
        <f>"1206690000518801"</f>
        <v>1206690000518801</v>
      </c>
      <c r="B2762" s="1" t="s">
        <v>10145</v>
      </c>
      <c r="C2762" s="1" t="s">
        <v>10146</v>
      </c>
      <c r="D2762" s="1" t="s">
        <v>547</v>
      </c>
      <c r="E2762" s="1" t="s">
        <v>10147</v>
      </c>
      <c r="F2762" s="1" t="s">
        <v>42</v>
      </c>
      <c r="G2762" s="1">
        <v>680125</v>
      </c>
      <c r="H2762" s="1">
        <v>30.75</v>
      </c>
    </row>
    <row r="2763" spans="1:8" ht="21.75" customHeight="1">
      <c r="A2763" s="1" t="str">
        <f>"IN30163740723745"</f>
        <v>IN30163740723745</v>
      </c>
      <c r="B2763" s="1" t="s">
        <v>10148</v>
      </c>
      <c r="C2763" s="1" t="s">
        <v>10149</v>
      </c>
      <c r="D2763" s="1" t="s">
        <v>10150</v>
      </c>
      <c r="E2763" s="1" t="s">
        <v>10151</v>
      </c>
      <c r="F2763" s="1"/>
      <c r="G2763" s="1">
        <v>680301</v>
      </c>
      <c r="H2763" s="1">
        <v>232.5</v>
      </c>
    </row>
    <row r="2764" spans="1:8" ht="21.75" customHeight="1">
      <c r="A2764" s="1" t="str">
        <f>"1204470003699220"</f>
        <v>1204470003699220</v>
      </c>
      <c r="B2764" s="1" t="s">
        <v>10152</v>
      </c>
      <c r="C2764" s="1" t="s">
        <v>10153</v>
      </c>
      <c r="D2764" s="1" t="s">
        <v>10154</v>
      </c>
      <c r="E2764" s="1" t="s">
        <v>10155</v>
      </c>
      <c r="F2764" s="1" t="s">
        <v>42</v>
      </c>
      <c r="G2764" s="1">
        <v>680301</v>
      </c>
      <c r="H2764" s="1">
        <v>30.75</v>
      </c>
    </row>
    <row r="2765" spans="1:8" ht="21.75" customHeight="1">
      <c r="A2765" s="1" t="str">
        <f>"IN30163741251797"</f>
        <v>IN30163741251797</v>
      </c>
      <c r="B2765" s="1" t="s">
        <v>10156</v>
      </c>
      <c r="C2765" s="1" t="s">
        <v>5301</v>
      </c>
      <c r="D2765" s="1" t="s">
        <v>10157</v>
      </c>
      <c r="E2765" s="1" t="s">
        <v>10158</v>
      </c>
      <c r="F2765" s="1"/>
      <c r="G2765" s="1">
        <v>680302</v>
      </c>
      <c r="H2765" s="1">
        <v>30</v>
      </c>
    </row>
    <row r="2766" spans="1:8" ht="21.75" customHeight="1">
      <c r="A2766" s="1" t="str">
        <f>"1202390000270715"</f>
        <v>1202390000270715</v>
      </c>
      <c r="B2766" s="1" t="s">
        <v>10159</v>
      </c>
      <c r="C2766" s="1" t="s">
        <v>10160</v>
      </c>
      <c r="D2766" s="1" t="s">
        <v>10161</v>
      </c>
      <c r="E2766" s="1"/>
      <c r="F2766" s="1" t="s">
        <v>37</v>
      </c>
      <c r="G2766" s="1">
        <v>680303</v>
      </c>
      <c r="H2766" s="1">
        <v>75</v>
      </c>
    </row>
    <row r="2767" spans="1:8" ht="21.75" customHeight="1">
      <c r="A2767" s="1" t="str">
        <f>"1203350000927586"</f>
        <v>1203350000927586</v>
      </c>
      <c r="B2767" s="1" t="s">
        <v>10162</v>
      </c>
      <c r="C2767" s="1" t="s">
        <v>10163</v>
      </c>
      <c r="D2767" s="1" t="s">
        <v>10164</v>
      </c>
      <c r="E2767" s="1"/>
      <c r="F2767" s="1" t="s">
        <v>42</v>
      </c>
      <c r="G2767" s="1">
        <v>680305</v>
      </c>
      <c r="H2767" s="1">
        <v>315</v>
      </c>
    </row>
    <row r="2768" spans="1:8" ht="21.75" customHeight="1">
      <c r="A2768" s="1" t="str">
        <f>"IN30169611690156"</f>
        <v>IN30169611690156</v>
      </c>
      <c r="B2768" s="1" t="s">
        <v>10165</v>
      </c>
      <c r="C2768" s="1" t="s">
        <v>10166</v>
      </c>
      <c r="D2768" s="1" t="s">
        <v>10167</v>
      </c>
      <c r="E2768" s="1" t="s">
        <v>10011</v>
      </c>
      <c r="F2768" s="1"/>
      <c r="G2768" s="1">
        <v>680306</v>
      </c>
      <c r="H2768" s="1">
        <v>75</v>
      </c>
    </row>
    <row r="2769" spans="1:8" ht="21.75" customHeight="1">
      <c r="A2769" s="1" t="str">
        <f>"1202980000107768"</f>
        <v>1202980000107768</v>
      </c>
      <c r="B2769" s="1" t="s">
        <v>10168</v>
      </c>
      <c r="C2769" s="1" t="s">
        <v>10169</v>
      </c>
      <c r="D2769" s="1" t="s">
        <v>10170</v>
      </c>
      <c r="E2769" s="1" t="s">
        <v>10171</v>
      </c>
      <c r="F2769" s="1" t="s">
        <v>42</v>
      </c>
      <c r="G2769" s="1">
        <v>680306</v>
      </c>
      <c r="H2769" s="1">
        <v>142.5</v>
      </c>
    </row>
    <row r="2770" spans="1:8" ht="21.75" customHeight="1">
      <c r="A2770" s="1" t="str">
        <f>"IN30169611690197"</f>
        <v>IN30169611690197</v>
      </c>
      <c r="B2770" s="1" t="s">
        <v>10172</v>
      </c>
      <c r="C2770" s="1" t="s">
        <v>10166</v>
      </c>
      <c r="D2770" s="1" t="s">
        <v>10167</v>
      </c>
      <c r="E2770" s="1" t="s">
        <v>10011</v>
      </c>
      <c r="F2770" s="1"/>
      <c r="G2770" s="1">
        <v>680306</v>
      </c>
      <c r="H2770" s="1">
        <v>75</v>
      </c>
    </row>
    <row r="2771" spans="1:8" ht="21.75" customHeight="1">
      <c r="A2771" s="1" t="str">
        <f>"1204760000185817"</f>
        <v>1204760000185817</v>
      </c>
      <c r="B2771" s="1" t="s">
        <v>10173</v>
      </c>
      <c r="C2771" s="1" t="s">
        <v>10174</v>
      </c>
      <c r="D2771" s="1" t="s">
        <v>10175</v>
      </c>
      <c r="E2771" s="1" t="s">
        <v>1042</v>
      </c>
      <c r="F2771" s="1" t="s">
        <v>42</v>
      </c>
      <c r="G2771" s="1">
        <v>680306</v>
      </c>
      <c r="H2771" s="1">
        <v>300</v>
      </c>
    </row>
    <row r="2772" spans="1:8" ht="21.75" customHeight="1">
      <c r="A2772" s="1" t="str">
        <f>"IN30177412161019"</f>
        <v>IN30177412161019</v>
      </c>
      <c r="B2772" s="1" t="s">
        <v>10176</v>
      </c>
      <c r="C2772" s="1" t="s">
        <v>10177</v>
      </c>
      <c r="D2772" s="1" t="s">
        <v>10178</v>
      </c>
      <c r="E2772" s="1" t="s">
        <v>42</v>
      </c>
      <c r="F2772" s="1"/>
      <c r="G2772" s="1">
        <v>680306</v>
      </c>
      <c r="H2772" s="1">
        <v>30</v>
      </c>
    </row>
    <row r="2773" spans="1:8" ht="21.75" customHeight="1">
      <c r="A2773" s="1" t="str">
        <f>"IN30089610452670"</f>
        <v>IN30089610452670</v>
      </c>
      <c r="B2773" s="1" t="s">
        <v>10179</v>
      </c>
      <c r="C2773" s="1" t="s">
        <v>10180</v>
      </c>
      <c r="D2773" s="1" t="s">
        <v>10072</v>
      </c>
      <c r="E2773" s="1" t="s">
        <v>10011</v>
      </c>
      <c r="F2773" s="1"/>
      <c r="G2773" s="1">
        <v>680306</v>
      </c>
      <c r="H2773" s="1">
        <v>186.75</v>
      </c>
    </row>
    <row r="2774" spans="1:8" ht="21.75" customHeight="1">
      <c r="A2774" s="1" t="str">
        <f>"IN30226912991894"</f>
        <v>IN30226912991894</v>
      </c>
      <c r="B2774" s="1" t="s">
        <v>10181</v>
      </c>
      <c r="C2774" s="1" t="s">
        <v>10182</v>
      </c>
      <c r="D2774" s="1" t="s">
        <v>10183</v>
      </c>
      <c r="E2774" s="1" t="s">
        <v>10184</v>
      </c>
      <c r="F2774" s="1"/>
      <c r="G2774" s="1">
        <v>680306</v>
      </c>
      <c r="H2774" s="1">
        <v>48.75</v>
      </c>
    </row>
    <row r="2775" spans="1:8" ht="21.75" customHeight="1">
      <c r="A2775" s="1" t="str">
        <f>"1201090012576843"</f>
        <v>1201090012576843</v>
      </c>
      <c r="B2775" s="1" t="s">
        <v>10185</v>
      </c>
      <c r="C2775" s="1" t="s">
        <v>10186</v>
      </c>
      <c r="D2775" s="1" t="s">
        <v>10187</v>
      </c>
      <c r="E2775" s="1"/>
      <c r="F2775" s="1" t="s">
        <v>47</v>
      </c>
      <c r="G2775" s="1">
        <v>680307</v>
      </c>
      <c r="H2775" s="1">
        <v>31.5</v>
      </c>
    </row>
    <row r="2776" spans="1:8" ht="21.75" customHeight="1">
      <c r="A2776" s="1" t="str">
        <f>"IN30181110081807"</f>
        <v>IN30181110081807</v>
      </c>
      <c r="B2776" s="1" t="s">
        <v>10188</v>
      </c>
      <c r="C2776" s="1" t="s">
        <v>10189</v>
      </c>
      <c r="D2776" s="1" t="s">
        <v>10190</v>
      </c>
      <c r="E2776" s="1" t="s">
        <v>42</v>
      </c>
      <c r="F2776" s="1"/>
      <c r="G2776" s="1">
        <v>680308</v>
      </c>
      <c r="H2776" s="1">
        <v>255</v>
      </c>
    </row>
    <row r="2777" spans="1:8" ht="21.75" customHeight="1">
      <c r="A2777" s="1" t="str">
        <f>"IN30226913718460"</f>
        <v>IN30226913718460</v>
      </c>
      <c r="B2777" s="1" t="s">
        <v>10191</v>
      </c>
      <c r="C2777" s="1" t="s">
        <v>10192</v>
      </c>
      <c r="D2777" s="1" t="s">
        <v>10193</v>
      </c>
      <c r="E2777" s="1" t="s">
        <v>10184</v>
      </c>
      <c r="F2777" s="1"/>
      <c r="G2777" s="1">
        <v>680308</v>
      </c>
      <c r="H2777" s="1">
        <v>103.5</v>
      </c>
    </row>
    <row r="2778" spans="1:8" ht="21.75" customHeight="1">
      <c r="A2778" s="1" t="str">
        <f>"IN30163740609383"</f>
        <v>IN30163740609383</v>
      </c>
      <c r="B2778" s="1" t="s">
        <v>10194</v>
      </c>
      <c r="C2778" s="1" t="s">
        <v>10195</v>
      </c>
      <c r="D2778" s="1" t="s">
        <v>10196</v>
      </c>
      <c r="E2778" s="1" t="s">
        <v>10197</v>
      </c>
      <c r="F2778" s="1"/>
      <c r="G2778" s="1">
        <v>680309</v>
      </c>
      <c r="H2778" s="1">
        <v>35.25</v>
      </c>
    </row>
    <row r="2779" spans="1:8" ht="21.75" customHeight="1">
      <c r="A2779" s="1" t="str">
        <f>"IN30163740060638"</f>
        <v>IN30163740060638</v>
      </c>
      <c r="B2779" s="1" t="s">
        <v>10198</v>
      </c>
      <c r="C2779" s="1" t="s">
        <v>10199</v>
      </c>
      <c r="D2779" s="1" t="s">
        <v>10200</v>
      </c>
      <c r="E2779" s="1" t="s">
        <v>10201</v>
      </c>
      <c r="F2779" s="1"/>
      <c r="G2779" s="1">
        <v>680311</v>
      </c>
      <c r="H2779" s="1">
        <v>75</v>
      </c>
    </row>
    <row r="2780" spans="1:8" ht="21.75" customHeight="1">
      <c r="A2780" s="1" t="str">
        <f>"IN30163710197069"</f>
        <v>IN30163710197069</v>
      </c>
      <c r="B2780" s="1" t="s">
        <v>10202</v>
      </c>
      <c r="C2780" s="1" t="s">
        <v>10203</v>
      </c>
      <c r="D2780" s="1" t="s">
        <v>10204</v>
      </c>
      <c r="E2780" s="1" t="s">
        <v>10205</v>
      </c>
      <c r="F2780" s="1"/>
      <c r="G2780" s="1">
        <v>680311</v>
      </c>
      <c r="H2780" s="1">
        <v>12</v>
      </c>
    </row>
    <row r="2781" spans="1:8" ht="21.75" customHeight="1">
      <c r="A2781" s="1" t="str">
        <f>"IN30189510008577"</f>
        <v>IN30189510008577</v>
      </c>
      <c r="B2781" s="1" t="s">
        <v>10206</v>
      </c>
      <c r="C2781" s="1" t="s">
        <v>10207</v>
      </c>
      <c r="D2781" s="1" t="s">
        <v>10208</v>
      </c>
      <c r="E2781" s="1" t="s">
        <v>10011</v>
      </c>
      <c r="F2781" s="1"/>
      <c r="G2781" s="1">
        <v>680312</v>
      </c>
      <c r="H2781" s="1">
        <v>75</v>
      </c>
    </row>
    <row r="2782" spans="1:8" ht="21.75" customHeight="1">
      <c r="A2782" s="1" t="str">
        <f>"IN30039411910436"</f>
        <v>IN30039411910436</v>
      </c>
      <c r="B2782" s="1" t="s">
        <v>10209</v>
      </c>
      <c r="C2782" s="1" t="s">
        <v>10210</v>
      </c>
      <c r="D2782" s="1" t="s">
        <v>10211</v>
      </c>
      <c r="E2782" s="1" t="s">
        <v>10011</v>
      </c>
      <c r="F2782" s="1"/>
      <c r="G2782" s="1">
        <v>680313</v>
      </c>
      <c r="H2782" s="1">
        <v>30</v>
      </c>
    </row>
    <row r="2783" spans="1:8" ht="21.75" customHeight="1">
      <c r="A2783" s="1" t="str">
        <f>"1201090012678592"</f>
        <v>1201090012678592</v>
      </c>
      <c r="B2783" s="1" t="s">
        <v>10212</v>
      </c>
      <c r="C2783" s="1" t="s">
        <v>10213</v>
      </c>
      <c r="D2783" s="1" t="s">
        <v>10214</v>
      </c>
      <c r="E2783" s="1"/>
      <c r="F2783" s="1" t="s">
        <v>42</v>
      </c>
      <c r="G2783" s="1">
        <v>680317</v>
      </c>
      <c r="H2783" s="1">
        <v>179.25</v>
      </c>
    </row>
    <row r="2784" spans="1:8" ht="21.75" customHeight="1">
      <c r="A2784" s="1" t="str">
        <f>"IN30189510927912"</f>
        <v>IN30189510927912</v>
      </c>
      <c r="B2784" s="1" t="s">
        <v>10215</v>
      </c>
      <c r="C2784" s="1" t="s">
        <v>10216</v>
      </c>
      <c r="D2784" s="1" t="s">
        <v>10217</v>
      </c>
      <c r="E2784" s="1" t="s">
        <v>10218</v>
      </c>
      <c r="F2784" s="1"/>
      <c r="G2784" s="1">
        <v>680317</v>
      </c>
      <c r="H2784" s="1">
        <v>106.5</v>
      </c>
    </row>
    <row r="2785" spans="1:8" ht="21.75" customHeight="1">
      <c r="A2785" s="1" t="str">
        <f>"IN30189510563323"</f>
        <v>IN30189510563323</v>
      </c>
      <c r="B2785" s="1" t="s">
        <v>10219</v>
      </c>
      <c r="C2785" s="1" t="s">
        <v>10220</v>
      </c>
      <c r="D2785" s="1" t="s">
        <v>10221</v>
      </c>
      <c r="E2785" s="1" t="s">
        <v>5168</v>
      </c>
      <c r="F2785" s="1"/>
      <c r="G2785" s="1">
        <v>680323</v>
      </c>
      <c r="H2785" s="1">
        <v>95.25</v>
      </c>
    </row>
    <row r="2786" spans="1:8" ht="21.75" customHeight="1">
      <c r="A2786" s="1" t="str">
        <f>"1203280000113129"</f>
        <v>1203280000113129</v>
      </c>
      <c r="B2786" s="1" t="s">
        <v>10222</v>
      </c>
      <c r="C2786" s="1" t="s">
        <v>10220</v>
      </c>
      <c r="D2786" s="1" t="s">
        <v>10223</v>
      </c>
      <c r="E2786" s="1" t="s">
        <v>10224</v>
      </c>
      <c r="F2786" s="1" t="s">
        <v>37</v>
      </c>
      <c r="G2786" s="1">
        <v>680323</v>
      </c>
      <c r="H2786" s="1">
        <v>750</v>
      </c>
    </row>
    <row r="2787" spans="1:8" ht="21.75" customHeight="1">
      <c r="A2787" s="1" t="str">
        <f>"IN30220111394107"</f>
        <v>IN30220111394107</v>
      </c>
      <c r="B2787" s="1" t="s">
        <v>10225</v>
      </c>
      <c r="C2787" s="1" t="s">
        <v>10226</v>
      </c>
      <c r="D2787" s="1" t="s">
        <v>10227</v>
      </c>
      <c r="E2787" s="1" t="s">
        <v>10228</v>
      </c>
      <c r="F2787" s="1"/>
      <c r="G2787" s="1">
        <v>680323</v>
      </c>
      <c r="H2787" s="1">
        <v>52.5</v>
      </c>
    </row>
    <row r="2788" spans="1:8" ht="21.75" customHeight="1">
      <c r="A2788" s="1" t="str">
        <f>"IN30163741068652"</f>
        <v>IN30163741068652</v>
      </c>
      <c r="B2788" s="1" t="s">
        <v>10229</v>
      </c>
      <c r="C2788" s="1" t="s">
        <v>10230</v>
      </c>
      <c r="D2788" s="1" t="s">
        <v>10231</v>
      </c>
      <c r="E2788" s="1" t="s">
        <v>10232</v>
      </c>
      <c r="F2788" s="1"/>
      <c r="G2788" s="1">
        <v>680501</v>
      </c>
      <c r="H2788" s="1">
        <v>225</v>
      </c>
    </row>
    <row r="2789" spans="1:8" ht="21.75" customHeight="1">
      <c r="A2789" s="1" t="str">
        <f>"IN30163740889010"</f>
        <v>IN30163740889010</v>
      </c>
      <c r="B2789" s="1" t="s">
        <v>10233</v>
      </c>
      <c r="C2789" s="1" t="s">
        <v>10234</v>
      </c>
      <c r="D2789" s="1" t="s">
        <v>10235</v>
      </c>
      <c r="E2789" s="1" t="s">
        <v>5257</v>
      </c>
      <c r="F2789" s="1"/>
      <c r="G2789" s="1">
        <v>680502</v>
      </c>
      <c r="H2789" s="1">
        <v>36</v>
      </c>
    </row>
    <row r="2790" spans="1:8" ht="21.75" customHeight="1">
      <c r="A2790" s="1" t="str">
        <f>"1202390000191916"</f>
        <v>1202390000191916</v>
      </c>
      <c r="B2790" s="1" t="s">
        <v>10236</v>
      </c>
      <c r="C2790" s="1" t="s">
        <v>10237</v>
      </c>
      <c r="D2790" s="1" t="s">
        <v>10238</v>
      </c>
      <c r="E2790" s="1" t="s">
        <v>5128</v>
      </c>
      <c r="F2790" s="1" t="s">
        <v>42</v>
      </c>
      <c r="G2790" s="1">
        <v>680503</v>
      </c>
      <c r="H2790" s="1">
        <v>0.75</v>
      </c>
    </row>
    <row r="2791" spans="1:8" ht="21.75" customHeight="1">
      <c r="A2791" s="1" t="str">
        <f>"IN30177414162916"</f>
        <v>IN30177414162916</v>
      </c>
      <c r="B2791" s="1" t="s">
        <v>10239</v>
      </c>
      <c r="C2791" s="1">
        <v>125</v>
      </c>
      <c r="D2791" s="1" t="s">
        <v>10240</v>
      </c>
      <c r="E2791" s="1" t="s">
        <v>10241</v>
      </c>
      <c r="F2791" s="1"/>
      <c r="G2791" s="1">
        <v>680503</v>
      </c>
      <c r="H2791" s="1">
        <v>84.75</v>
      </c>
    </row>
    <row r="2792" spans="1:8" ht="21.75" customHeight="1">
      <c r="A2792" s="1" t="str">
        <f>"1202390000093186"</f>
        <v>1202390000093186</v>
      </c>
      <c r="B2792" s="1" t="s">
        <v>10242</v>
      </c>
      <c r="C2792" s="1" t="s">
        <v>10243</v>
      </c>
      <c r="D2792" s="1" t="s">
        <v>5128</v>
      </c>
      <c r="E2792" s="1" t="s">
        <v>37</v>
      </c>
      <c r="F2792" s="1" t="s">
        <v>410</v>
      </c>
      <c r="G2792" s="1">
        <v>680503</v>
      </c>
      <c r="H2792" s="1">
        <v>30</v>
      </c>
    </row>
    <row r="2793" spans="1:8" ht="21.75" customHeight="1">
      <c r="A2793" s="1" t="str">
        <f>"IN30177416914476"</f>
        <v>IN30177416914476</v>
      </c>
      <c r="B2793" s="1" t="s">
        <v>10244</v>
      </c>
      <c r="C2793" s="1" t="s">
        <v>10245</v>
      </c>
      <c r="D2793" s="1" t="s">
        <v>10246</v>
      </c>
      <c r="E2793" s="1" t="s">
        <v>42</v>
      </c>
      <c r="F2793" s="1"/>
      <c r="G2793" s="1">
        <v>680503</v>
      </c>
      <c r="H2793" s="1">
        <v>3</v>
      </c>
    </row>
    <row r="2794" spans="1:8" ht="21.75" customHeight="1">
      <c r="A2794" s="1" t="str">
        <f>"1202390000085479"</f>
        <v>1202390000085479</v>
      </c>
      <c r="B2794" s="1" t="s">
        <v>10247</v>
      </c>
      <c r="C2794" s="1" t="s">
        <v>10248</v>
      </c>
      <c r="D2794" s="1" t="s">
        <v>10238</v>
      </c>
      <c r="E2794" s="1"/>
      <c r="F2794" s="1" t="s">
        <v>37</v>
      </c>
      <c r="G2794" s="1">
        <v>680503</v>
      </c>
      <c r="H2794" s="1">
        <v>300</v>
      </c>
    </row>
    <row r="2795" spans="1:8" ht="21.75" customHeight="1">
      <c r="A2795" s="1" t="str">
        <f>"1202390000084023"</f>
        <v>1202390000084023</v>
      </c>
      <c r="B2795" s="1" t="s">
        <v>10249</v>
      </c>
      <c r="C2795" s="1" t="s">
        <v>10237</v>
      </c>
      <c r="D2795" s="1" t="s">
        <v>10238</v>
      </c>
      <c r="E2795" s="1"/>
      <c r="F2795" s="1" t="s">
        <v>37</v>
      </c>
      <c r="G2795" s="1">
        <v>680503</v>
      </c>
      <c r="H2795" s="1">
        <v>7.5</v>
      </c>
    </row>
    <row r="2796" spans="1:8" ht="21.75" customHeight="1">
      <c r="A2796" s="1" t="str">
        <f>"IN30039416880762"</f>
        <v>IN30039416880762</v>
      </c>
      <c r="B2796" s="1" t="s">
        <v>10250</v>
      </c>
      <c r="C2796" s="1" t="s">
        <v>10251</v>
      </c>
      <c r="D2796" s="1" t="s">
        <v>10049</v>
      </c>
      <c r="E2796" s="1" t="s">
        <v>10252</v>
      </c>
      <c r="F2796" s="1"/>
      <c r="G2796" s="1">
        <v>680503</v>
      </c>
      <c r="H2796" s="1">
        <v>15</v>
      </c>
    </row>
    <row r="2797" spans="1:8" ht="21.75" customHeight="1">
      <c r="A2797" s="1" t="str">
        <f>"1204450000238572"</f>
        <v>1204450000238572</v>
      </c>
      <c r="B2797" s="1" t="s">
        <v>10253</v>
      </c>
      <c r="C2797" s="1" t="s">
        <v>10254</v>
      </c>
      <c r="D2797" s="1" t="s">
        <v>10255</v>
      </c>
      <c r="E2797" s="1"/>
      <c r="F2797" s="1" t="s">
        <v>42</v>
      </c>
      <c r="G2797" s="1">
        <v>680504</v>
      </c>
      <c r="H2797" s="1">
        <v>225</v>
      </c>
    </row>
    <row r="2798" spans="1:8" ht="21.75" customHeight="1">
      <c r="A2798" s="1" t="str">
        <f>"IN30189510280475"</f>
        <v>IN30189510280475</v>
      </c>
      <c r="B2798" s="1" t="s">
        <v>10256</v>
      </c>
      <c r="C2798" s="1" t="s">
        <v>10257</v>
      </c>
      <c r="D2798" s="1" t="s">
        <v>10258</v>
      </c>
      <c r="E2798" s="1" t="s">
        <v>10259</v>
      </c>
      <c r="F2798" s="1"/>
      <c r="G2798" s="1">
        <v>680506</v>
      </c>
      <c r="H2798" s="1">
        <v>300</v>
      </c>
    </row>
    <row r="2799" spans="1:8" ht="21.75" customHeight="1">
      <c r="A2799" s="1" t="str">
        <f>"IN30163740065382"</f>
        <v>IN30163740065382</v>
      </c>
      <c r="B2799" s="1" t="s">
        <v>10260</v>
      </c>
      <c r="C2799" s="1" t="s">
        <v>10261</v>
      </c>
      <c r="D2799" s="1" t="s">
        <v>10262</v>
      </c>
      <c r="E2799" s="1" t="s">
        <v>10263</v>
      </c>
      <c r="F2799" s="1"/>
      <c r="G2799" s="1">
        <v>680508</v>
      </c>
      <c r="H2799" s="1">
        <v>112.5</v>
      </c>
    </row>
    <row r="2800" spans="1:8" ht="21.75" customHeight="1">
      <c r="A2800" s="1" t="str">
        <f>"IN30163741028127"</f>
        <v>IN30163741028127</v>
      </c>
      <c r="B2800" s="1" t="s">
        <v>10264</v>
      </c>
      <c r="C2800" s="1" t="s">
        <v>10265</v>
      </c>
      <c r="D2800" s="1" t="s">
        <v>10266</v>
      </c>
      <c r="E2800" s="1" t="s">
        <v>42</v>
      </c>
      <c r="F2800" s="1"/>
      <c r="G2800" s="1">
        <v>680510</v>
      </c>
      <c r="H2800" s="1">
        <v>0.75</v>
      </c>
    </row>
    <row r="2801" spans="1:8" ht="21.75" customHeight="1">
      <c r="A2801" s="1" t="str">
        <f>"IN30163710195707"</f>
        <v>IN30163710195707</v>
      </c>
      <c r="B2801" s="1" t="s">
        <v>10267</v>
      </c>
      <c r="C2801" s="1" t="s">
        <v>9393</v>
      </c>
      <c r="D2801" s="1" t="s">
        <v>10268</v>
      </c>
      <c r="E2801" s="1" t="s">
        <v>10269</v>
      </c>
      <c r="F2801" s="1"/>
      <c r="G2801" s="1">
        <v>680512</v>
      </c>
      <c r="H2801" s="1">
        <v>15</v>
      </c>
    </row>
    <row r="2802" spans="1:8" ht="21.75" customHeight="1">
      <c r="A2802" s="1" t="str">
        <f>"IN30163740754695"</f>
        <v>IN30163740754695</v>
      </c>
      <c r="B2802" s="1" t="s">
        <v>10270</v>
      </c>
      <c r="C2802" s="1" t="s">
        <v>10271</v>
      </c>
      <c r="D2802" s="1" t="s">
        <v>10272</v>
      </c>
      <c r="E2802" s="1"/>
      <c r="F2802" s="1"/>
      <c r="G2802" s="1">
        <v>680513</v>
      </c>
      <c r="H2802" s="1">
        <v>30</v>
      </c>
    </row>
    <row r="2803" spans="1:8" ht="21.75" customHeight="1">
      <c r="A2803" s="1" t="str">
        <f>"1204760000154915"</f>
        <v>1204760000154915</v>
      </c>
      <c r="B2803" s="1" t="s">
        <v>10273</v>
      </c>
      <c r="C2803" s="1" t="s">
        <v>10274</v>
      </c>
      <c r="D2803" s="1" t="s">
        <v>10275</v>
      </c>
      <c r="E2803" s="1" t="s">
        <v>494</v>
      </c>
      <c r="F2803" s="1" t="s">
        <v>42</v>
      </c>
      <c r="G2803" s="1">
        <v>680515</v>
      </c>
      <c r="H2803" s="1">
        <v>41.25</v>
      </c>
    </row>
    <row r="2804" spans="1:8" ht="21.75" customHeight="1">
      <c r="A2804" s="1" t="str">
        <f>"1204470004020907"</f>
        <v>1204470004020907</v>
      </c>
      <c r="B2804" s="1" t="s">
        <v>10276</v>
      </c>
      <c r="C2804" s="1" t="s">
        <v>10277</v>
      </c>
      <c r="D2804" s="1" t="s">
        <v>10278</v>
      </c>
      <c r="E2804" s="1" t="s">
        <v>5128</v>
      </c>
      <c r="F2804" s="1" t="s">
        <v>42</v>
      </c>
      <c r="G2804" s="1">
        <v>680517</v>
      </c>
      <c r="H2804" s="1">
        <v>370.5</v>
      </c>
    </row>
    <row r="2805" spans="1:8" ht="21.75" customHeight="1">
      <c r="A2805" s="1" t="str">
        <f>"IN30163741003154"</f>
        <v>IN30163741003154</v>
      </c>
      <c r="B2805" s="1" t="s">
        <v>10279</v>
      </c>
      <c r="C2805" s="1" t="s">
        <v>10280</v>
      </c>
      <c r="D2805" s="1" t="s">
        <v>10281</v>
      </c>
      <c r="E2805" s="1" t="s">
        <v>10011</v>
      </c>
      <c r="F2805" s="1"/>
      <c r="G2805" s="1">
        <v>680517</v>
      </c>
      <c r="H2805" s="1">
        <v>0.75</v>
      </c>
    </row>
    <row r="2806" spans="1:8" ht="21.75" customHeight="1">
      <c r="A2806" s="1" t="str">
        <f>"IN30177414616060"</f>
        <v>IN30177414616060</v>
      </c>
      <c r="B2806" s="1" t="s">
        <v>10282</v>
      </c>
      <c r="C2806" s="1" t="s">
        <v>10283</v>
      </c>
      <c r="D2806" s="1" t="s">
        <v>10284</v>
      </c>
      <c r="E2806" s="1" t="s">
        <v>37</v>
      </c>
      <c r="F2806" s="1"/>
      <c r="G2806" s="1">
        <v>680519</v>
      </c>
      <c r="H2806" s="1">
        <v>2.25</v>
      </c>
    </row>
    <row r="2807" spans="1:8" ht="21.75" customHeight="1">
      <c r="A2807" s="1" t="str">
        <f>"1203840001133760"</f>
        <v>1203840001133760</v>
      </c>
      <c r="B2807" s="1" t="s">
        <v>10285</v>
      </c>
      <c r="C2807" s="1" t="s">
        <v>10286</v>
      </c>
      <c r="D2807" s="1" t="s">
        <v>10287</v>
      </c>
      <c r="E2807" s="1" t="s">
        <v>10288</v>
      </c>
      <c r="F2807" s="1" t="s">
        <v>37</v>
      </c>
      <c r="G2807" s="1">
        <v>680519</v>
      </c>
      <c r="H2807" s="1">
        <v>12</v>
      </c>
    </row>
    <row r="2808" spans="1:8" ht="21.75" customHeight="1">
      <c r="A2808" s="1" t="str">
        <f>"IN30177415483376"</f>
        <v>IN30177415483376</v>
      </c>
      <c r="B2808" s="1" t="s">
        <v>10289</v>
      </c>
      <c r="C2808" s="1" t="s">
        <v>10290</v>
      </c>
      <c r="D2808" s="1" t="s">
        <v>10291</v>
      </c>
      <c r="E2808" s="1" t="s">
        <v>42</v>
      </c>
      <c r="F2808" s="1"/>
      <c r="G2808" s="1">
        <v>680519</v>
      </c>
      <c r="H2808" s="1">
        <v>149.25</v>
      </c>
    </row>
    <row r="2809" spans="1:8" ht="21.75" customHeight="1">
      <c r="A2809" s="1" t="str">
        <f>"IN30169612224701"</f>
        <v>IN30169612224701</v>
      </c>
      <c r="B2809" s="1" t="s">
        <v>10292</v>
      </c>
      <c r="C2809" s="1" t="s">
        <v>10293</v>
      </c>
      <c r="D2809" s="1" t="s">
        <v>10294</v>
      </c>
      <c r="E2809" s="1" t="s">
        <v>494</v>
      </c>
      <c r="F2809" s="1"/>
      <c r="G2809" s="1">
        <v>680522</v>
      </c>
      <c r="H2809" s="1">
        <v>145.5</v>
      </c>
    </row>
    <row r="2810" spans="1:8" ht="21.75" customHeight="1">
      <c r="A2810" s="1" t="str">
        <f>"1204760000210004"</f>
        <v>1204760000210004</v>
      </c>
      <c r="B2810" s="1" t="s">
        <v>10295</v>
      </c>
      <c r="C2810" s="1" t="s">
        <v>10296</v>
      </c>
      <c r="D2810" s="1" t="s">
        <v>10297</v>
      </c>
      <c r="E2810" s="1"/>
      <c r="F2810" s="1" t="s">
        <v>42</v>
      </c>
      <c r="G2810" s="1">
        <v>680543</v>
      </c>
      <c r="H2810" s="1">
        <v>52.5</v>
      </c>
    </row>
    <row r="2811" spans="1:8" ht="21.75" customHeight="1">
      <c r="A2811" s="1" t="str">
        <f>"1204760000240563"</f>
        <v>1204760000240563</v>
      </c>
      <c r="B2811" s="1" t="s">
        <v>10298</v>
      </c>
      <c r="C2811" s="1" t="s">
        <v>10299</v>
      </c>
      <c r="D2811" s="1" t="s">
        <v>10300</v>
      </c>
      <c r="E2811" s="1"/>
      <c r="F2811" s="1" t="s">
        <v>42</v>
      </c>
      <c r="G2811" s="1">
        <v>680544</v>
      </c>
      <c r="H2811" s="1">
        <v>150</v>
      </c>
    </row>
    <row r="2812" spans="1:8" ht="21.75" customHeight="1">
      <c r="A2812" s="1" t="str">
        <f>"IN30177414988774"</f>
        <v>IN30177414988774</v>
      </c>
      <c r="B2812" s="1" t="s">
        <v>10301</v>
      </c>
      <c r="C2812" s="1" t="s">
        <v>10302</v>
      </c>
      <c r="D2812" s="1" t="s">
        <v>10303</v>
      </c>
      <c r="E2812" s="1" t="s">
        <v>37</v>
      </c>
      <c r="F2812" s="1"/>
      <c r="G2812" s="1">
        <v>680544</v>
      </c>
      <c r="H2812" s="1">
        <v>1.5</v>
      </c>
    </row>
    <row r="2813" spans="1:8" ht="21.75" customHeight="1">
      <c r="A2813" s="1" t="str">
        <f>"IN30163741219272"</f>
        <v>IN30163741219272</v>
      </c>
      <c r="B2813" s="1" t="s">
        <v>10304</v>
      </c>
      <c r="C2813" s="1" t="s">
        <v>10305</v>
      </c>
      <c r="D2813" s="1" t="s">
        <v>10306</v>
      </c>
      <c r="E2813" s="1" t="s">
        <v>10307</v>
      </c>
      <c r="F2813" s="1"/>
      <c r="G2813" s="1">
        <v>680547</v>
      </c>
      <c r="H2813" s="1">
        <v>95.25</v>
      </c>
    </row>
    <row r="2814" spans="1:8" ht="21.75" customHeight="1">
      <c r="A2814" s="1" t="str">
        <f>"1202390000329382"</f>
        <v>1202390000329382</v>
      </c>
      <c r="B2814" s="1" t="s">
        <v>10308</v>
      </c>
      <c r="C2814" s="1" t="s">
        <v>10309</v>
      </c>
      <c r="D2814" s="1" t="s">
        <v>10310</v>
      </c>
      <c r="E2814" s="1" t="s">
        <v>10311</v>
      </c>
      <c r="F2814" s="1" t="s">
        <v>37</v>
      </c>
      <c r="G2814" s="1">
        <v>680561</v>
      </c>
      <c r="H2814" s="1">
        <v>18.75</v>
      </c>
    </row>
    <row r="2815" spans="1:8" ht="21.75" customHeight="1">
      <c r="A2815" s="1" t="str">
        <f>"IN30163740994458"</f>
        <v>IN30163740994458</v>
      </c>
      <c r="B2815" s="1" t="s">
        <v>10312</v>
      </c>
      <c r="C2815" s="1" t="s">
        <v>10313</v>
      </c>
      <c r="D2815" s="1" t="s">
        <v>10314</v>
      </c>
      <c r="E2815" s="1" t="s">
        <v>42</v>
      </c>
      <c r="F2815" s="1"/>
      <c r="G2815" s="1">
        <v>680561</v>
      </c>
      <c r="H2815" s="1">
        <v>15</v>
      </c>
    </row>
    <row r="2816" spans="1:8" ht="21.75" customHeight="1">
      <c r="A2816" s="1" t="str">
        <f>"1204470004390235"</f>
        <v>1204470004390235</v>
      </c>
      <c r="B2816" s="1" t="s">
        <v>10315</v>
      </c>
      <c r="C2816" s="1" t="s">
        <v>10316</v>
      </c>
      <c r="D2816" s="1" t="s">
        <v>10317</v>
      </c>
      <c r="E2816" s="1"/>
      <c r="F2816" s="1" t="s">
        <v>42</v>
      </c>
      <c r="G2816" s="1">
        <v>680562</v>
      </c>
      <c r="H2816" s="1">
        <v>148.5</v>
      </c>
    </row>
    <row r="2817" spans="1:8" ht="21.75" customHeight="1">
      <c r="A2817" s="1" t="str">
        <f>"1204760000206515"</f>
        <v>1204760000206515</v>
      </c>
      <c r="B2817" s="1" t="s">
        <v>10318</v>
      </c>
      <c r="C2817" s="1" t="s">
        <v>10319</v>
      </c>
      <c r="D2817" s="1" t="s">
        <v>10320</v>
      </c>
      <c r="E2817" s="1"/>
      <c r="F2817" s="1" t="s">
        <v>42</v>
      </c>
      <c r="G2817" s="1">
        <v>680564</v>
      </c>
      <c r="H2817" s="1">
        <v>226.5</v>
      </c>
    </row>
    <row r="2818" spans="1:8" ht="21.75" customHeight="1">
      <c r="A2818" s="1" t="str">
        <f>"1202390000182158"</f>
        <v>1202390000182158</v>
      </c>
      <c r="B2818" s="1" t="s">
        <v>10321</v>
      </c>
      <c r="C2818" s="1" t="s">
        <v>10322</v>
      </c>
      <c r="D2818" s="1" t="s">
        <v>10323</v>
      </c>
      <c r="E2818" s="1"/>
      <c r="F2818" s="1" t="s">
        <v>37</v>
      </c>
      <c r="G2818" s="1">
        <v>680564</v>
      </c>
      <c r="H2818" s="1">
        <v>39</v>
      </c>
    </row>
    <row r="2819" spans="1:8" ht="21.75" customHeight="1">
      <c r="A2819" s="1" t="str">
        <f>"IN30226912578885"</f>
        <v>IN30226912578885</v>
      </c>
      <c r="B2819" s="1" t="s">
        <v>10324</v>
      </c>
      <c r="C2819" s="1" t="s">
        <v>10325</v>
      </c>
      <c r="D2819" s="1" t="s">
        <v>10326</v>
      </c>
      <c r="E2819" s="1" t="s">
        <v>10184</v>
      </c>
      <c r="F2819" s="1"/>
      <c r="G2819" s="1">
        <v>680565</v>
      </c>
      <c r="H2819" s="1">
        <v>51.75</v>
      </c>
    </row>
    <row r="2820" spans="1:8" ht="21.75" customHeight="1">
      <c r="A2820" s="1" t="str">
        <f>"IN30189510728553"</f>
        <v>IN30189510728553</v>
      </c>
      <c r="B2820" s="1" t="s">
        <v>10328</v>
      </c>
      <c r="C2820" s="1" t="s">
        <v>10329</v>
      </c>
      <c r="D2820" s="1" t="s">
        <v>10330</v>
      </c>
      <c r="E2820" s="1" t="s">
        <v>5168</v>
      </c>
      <c r="F2820" s="1"/>
      <c r="G2820" s="1">
        <v>680565</v>
      </c>
      <c r="H2820" s="1">
        <v>97.5</v>
      </c>
    </row>
    <row r="2821" spans="1:8" ht="21.75" customHeight="1">
      <c r="A2821" s="1" t="str">
        <f>"1203280000276404"</f>
        <v>1203280000276404</v>
      </c>
      <c r="B2821" s="1" t="s">
        <v>10331</v>
      </c>
      <c r="C2821" s="1" t="s">
        <v>10332</v>
      </c>
      <c r="D2821" s="1" t="s">
        <v>5228</v>
      </c>
      <c r="E2821" s="1"/>
      <c r="F2821" s="1" t="s">
        <v>42</v>
      </c>
      <c r="G2821" s="1">
        <v>680566</v>
      </c>
      <c r="H2821" s="1">
        <v>37.5</v>
      </c>
    </row>
    <row r="2822" spans="1:8" ht="21.75" customHeight="1">
      <c r="A2822" s="1" t="str">
        <f>"IN30189510907128"</f>
        <v>IN30189510907128</v>
      </c>
      <c r="B2822" s="1" t="s">
        <v>10333</v>
      </c>
      <c r="C2822" s="1" t="s">
        <v>10334</v>
      </c>
      <c r="D2822" s="1" t="s">
        <v>10335</v>
      </c>
      <c r="E2822" s="1" t="s">
        <v>5168</v>
      </c>
      <c r="F2822" s="1"/>
      <c r="G2822" s="1">
        <v>680566</v>
      </c>
      <c r="H2822" s="1">
        <v>750</v>
      </c>
    </row>
    <row r="2823" spans="1:8" ht="21.75" customHeight="1">
      <c r="A2823" s="1" t="str">
        <f>"IN30051313579332"</f>
        <v>IN30051313579332</v>
      </c>
      <c r="B2823" s="1" t="s">
        <v>10336</v>
      </c>
      <c r="C2823" s="1" t="s">
        <v>10337</v>
      </c>
      <c r="D2823" s="1" t="s">
        <v>10338</v>
      </c>
      <c r="E2823" s="1" t="s">
        <v>10011</v>
      </c>
      <c r="F2823" s="1"/>
      <c r="G2823" s="1">
        <v>680566</v>
      </c>
      <c r="H2823" s="1">
        <v>18</v>
      </c>
    </row>
    <row r="2824" spans="1:8" ht="21.75" customHeight="1">
      <c r="A2824" s="1" t="str">
        <f>"1204760000264348"</f>
        <v>1204760000264348</v>
      </c>
      <c r="B2824" s="1" t="s">
        <v>10339</v>
      </c>
      <c r="C2824" s="1" t="s">
        <v>10340</v>
      </c>
      <c r="D2824" s="1" t="s">
        <v>10341</v>
      </c>
      <c r="E2824" s="1"/>
      <c r="F2824" s="1" t="s">
        <v>42</v>
      </c>
      <c r="G2824" s="1">
        <v>680567</v>
      </c>
      <c r="H2824" s="1">
        <v>27</v>
      </c>
    </row>
    <row r="2825" spans="1:8" ht="21.75" customHeight="1">
      <c r="A2825" s="1" t="str">
        <f>"003303"</f>
        <v>003303</v>
      </c>
      <c r="B2825" s="1" t="s">
        <v>10342</v>
      </c>
      <c r="C2825" s="1" t="s">
        <v>10343</v>
      </c>
      <c r="D2825" s="1" t="s">
        <v>10344</v>
      </c>
      <c r="E2825" s="1" t="s">
        <v>42</v>
      </c>
      <c r="F2825" s="1" t="s">
        <v>37</v>
      </c>
      <c r="G2825" s="1">
        <v>680567</v>
      </c>
      <c r="H2825" s="1">
        <v>705</v>
      </c>
    </row>
    <row r="2826" spans="1:8" ht="21.75" customHeight="1">
      <c r="A2826" s="1" t="str">
        <f>"IN30189510654535"</f>
        <v>IN30189510654535</v>
      </c>
      <c r="B2826" s="1" t="s">
        <v>10345</v>
      </c>
      <c r="C2826" s="1" t="s">
        <v>10346</v>
      </c>
      <c r="D2826" s="1" t="s">
        <v>10347</v>
      </c>
      <c r="E2826" s="1" t="s">
        <v>10348</v>
      </c>
      <c r="F2826" s="1"/>
      <c r="G2826" s="1">
        <v>680567</v>
      </c>
      <c r="H2826" s="1">
        <v>15</v>
      </c>
    </row>
    <row r="2827" spans="1:8" ht="21.75" customHeight="1">
      <c r="A2827" s="1" t="str">
        <f>"1204760000157175"</f>
        <v>1204760000157175</v>
      </c>
      <c r="B2827" s="1" t="s">
        <v>10349</v>
      </c>
      <c r="C2827" s="1" t="s">
        <v>10350</v>
      </c>
      <c r="D2827" s="1" t="s">
        <v>499</v>
      </c>
      <c r="E2827" s="1"/>
      <c r="F2827" s="1" t="s">
        <v>42</v>
      </c>
      <c r="G2827" s="1">
        <v>680567</v>
      </c>
      <c r="H2827" s="1">
        <v>3.75</v>
      </c>
    </row>
    <row r="2828" spans="1:8" ht="21.75" customHeight="1">
      <c r="A2828" s="1" t="str">
        <f>"IN30177416779573"</f>
        <v>IN30177416779573</v>
      </c>
      <c r="B2828" s="1" t="s">
        <v>10351</v>
      </c>
      <c r="C2828" s="1" t="s">
        <v>10352</v>
      </c>
      <c r="D2828" s="1" t="s">
        <v>10353</v>
      </c>
      <c r="E2828" s="1" t="s">
        <v>42</v>
      </c>
      <c r="F2828" s="1"/>
      <c r="G2828" s="1">
        <v>680567</v>
      </c>
      <c r="H2828" s="1">
        <v>84</v>
      </c>
    </row>
    <row r="2829" spans="1:8" ht="21.75" customHeight="1">
      <c r="A2829" s="1" t="str">
        <f>"IN30226912262365"</f>
        <v>IN30226912262365</v>
      </c>
      <c r="B2829" s="1" t="s">
        <v>10354</v>
      </c>
      <c r="C2829" s="1" t="s">
        <v>10355</v>
      </c>
      <c r="D2829" s="1" t="s">
        <v>10356</v>
      </c>
      <c r="E2829" s="1" t="s">
        <v>509</v>
      </c>
      <c r="F2829" s="1"/>
      <c r="G2829" s="1">
        <v>680567</v>
      </c>
      <c r="H2829" s="1">
        <v>120</v>
      </c>
    </row>
    <row r="2830" spans="1:8" ht="21.75" customHeight="1">
      <c r="A2830" s="1" t="str">
        <f>"1204760000006036"</f>
        <v>1204760000006036</v>
      </c>
      <c r="B2830" s="1" t="s">
        <v>10357</v>
      </c>
      <c r="C2830" s="1" t="s">
        <v>10358</v>
      </c>
      <c r="D2830" s="1" t="s">
        <v>10359</v>
      </c>
      <c r="E2830" s="1"/>
      <c r="F2830" s="1" t="s">
        <v>42</v>
      </c>
      <c r="G2830" s="1">
        <v>680567</v>
      </c>
      <c r="H2830" s="1">
        <v>56.25</v>
      </c>
    </row>
    <row r="2831" spans="1:8" ht="21.75" customHeight="1">
      <c r="A2831" s="1" t="str">
        <f>"IN30163741011306"</f>
        <v>IN30163741011306</v>
      </c>
      <c r="B2831" s="1" t="s">
        <v>10360</v>
      </c>
      <c r="C2831" s="1" t="s">
        <v>10361</v>
      </c>
      <c r="D2831" s="1" t="s">
        <v>10359</v>
      </c>
      <c r="E2831" s="1" t="s">
        <v>42</v>
      </c>
      <c r="F2831" s="1"/>
      <c r="G2831" s="1">
        <v>680567</v>
      </c>
      <c r="H2831" s="1">
        <v>104.25</v>
      </c>
    </row>
    <row r="2832" spans="1:8" ht="21.75" customHeight="1">
      <c r="A2832" s="1" t="str">
        <f>"IN30163740874987"</f>
        <v>IN30163740874987</v>
      </c>
      <c r="B2832" s="1" t="s">
        <v>10362</v>
      </c>
      <c r="C2832" s="1" t="s">
        <v>10363</v>
      </c>
      <c r="D2832" s="1" t="s">
        <v>498</v>
      </c>
      <c r="E2832" s="1" t="s">
        <v>10359</v>
      </c>
      <c r="F2832" s="1"/>
      <c r="G2832" s="1">
        <v>680567</v>
      </c>
      <c r="H2832" s="1">
        <v>36</v>
      </c>
    </row>
    <row r="2833" spans="1:8" ht="21.75" customHeight="1">
      <c r="A2833" s="1" t="str">
        <f>"IN30089610525305"</f>
        <v>IN30089610525305</v>
      </c>
      <c r="B2833" s="1" t="s">
        <v>10364</v>
      </c>
      <c r="C2833" s="1" t="s">
        <v>10365</v>
      </c>
      <c r="D2833" s="1" t="s">
        <v>10366</v>
      </c>
      <c r="E2833" s="1" t="s">
        <v>10367</v>
      </c>
      <c r="F2833" s="1"/>
      <c r="G2833" s="1">
        <v>680567</v>
      </c>
      <c r="H2833" s="1">
        <v>50.25</v>
      </c>
    </row>
    <row r="2834" spans="1:8" ht="21.75" customHeight="1">
      <c r="A2834" s="1" t="str">
        <f>"IN30089610529890"</f>
        <v>IN30089610529890</v>
      </c>
      <c r="B2834" s="1" t="s">
        <v>10368</v>
      </c>
      <c r="C2834" s="1" t="s">
        <v>10369</v>
      </c>
      <c r="D2834" s="1" t="s">
        <v>10370</v>
      </c>
      <c r="E2834" s="1" t="s">
        <v>10371</v>
      </c>
      <c r="F2834" s="1"/>
      <c r="G2834" s="1">
        <v>680567</v>
      </c>
      <c r="H2834" s="1">
        <v>7.5</v>
      </c>
    </row>
    <row r="2835" spans="1:8" ht="21.75" customHeight="1">
      <c r="A2835" s="1" t="str">
        <f>"IN30089610529904"</f>
        <v>IN30089610529904</v>
      </c>
      <c r="B2835" s="1" t="s">
        <v>10372</v>
      </c>
      <c r="C2835" s="1" t="s">
        <v>10369</v>
      </c>
      <c r="D2835" s="1" t="s">
        <v>10359</v>
      </c>
      <c r="E2835" s="1" t="s">
        <v>10373</v>
      </c>
      <c r="F2835" s="1"/>
      <c r="G2835" s="1">
        <v>680567</v>
      </c>
      <c r="H2835" s="1">
        <v>21.75</v>
      </c>
    </row>
    <row r="2836" spans="1:8" ht="21.75" customHeight="1">
      <c r="A2836" s="1" t="str">
        <f>"1204760000039085"</f>
        <v>1204760000039085</v>
      </c>
      <c r="B2836" s="1" t="s">
        <v>10374</v>
      </c>
      <c r="C2836" s="1" t="s">
        <v>10375</v>
      </c>
      <c r="D2836" s="1" t="s">
        <v>10376</v>
      </c>
      <c r="E2836" s="1" t="s">
        <v>42</v>
      </c>
      <c r="F2836" s="1" t="s">
        <v>5307</v>
      </c>
      <c r="G2836" s="1">
        <v>680568</v>
      </c>
      <c r="H2836" s="1">
        <v>75</v>
      </c>
    </row>
    <row r="2837" spans="1:8" ht="21.75" customHeight="1">
      <c r="A2837" s="1" t="str">
        <f>"1204760000194298"</f>
        <v>1204760000194298</v>
      </c>
      <c r="B2837" s="1" t="s">
        <v>10377</v>
      </c>
      <c r="C2837" s="1" t="s">
        <v>10378</v>
      </c>
      <c r="D2837" s="1" t="s">
        <v>10379</v>
      </c>
      <c r="E2837" s="1"/>
      <c r="F2837" s="1" t="s">
        <v>42</v>
      </c>
      <c r="G2837" s="1">
        <v>680568</v>
      </c>
      <c r="H2837" s="1">
        <v>975</v>
      </c>
    </row>
    <row r="2838" spans="1:8" ht="21.75" customHeight="1">
      <c r="A2838" s="1" t="str">
        <f>"1204760000159552"</f>
        <v>1204760000159552</v>
      </c>
      <c r="B2838" s="1" t="s">
        <v>10380</v>
      </c>
      <c r="C2838" s="1" t="s">
        <v>10381</v>
      </c>
      <c r="D2838" s="1" t="s">
        <v>495</v>
      </c>
      <c r="E2838" s="1"/>
      <c r="F2838" s="1" t="s">
        <v>42</v>
      </c>
      <c r="G2838" s="1">
        <v>680569</v>
      </c>
      <c r="H2838" s="1">
        <v>150</v>
      </c>
    </row>
    <row r="2839" spans="1:8" ht="21.75" customHeight="1">
      <c r="A2839" s="1" t="str">
        <f>"1204760000059167"</f>
        <v>1204760000059167</v>
      </c>
      <c r="B2839" s="1" t="s">
        <v>10382</v>
      </c>
      <c r="C2839" s="1" t="s">
        <v>10383</v>
      </c>
      <c r="D2839" s="1" t="s">
        <v>10384</v>
      </c>
      <c r="E2839" s="1"/>
      <c r="F2839" s="1" t="s">
        <v>10385</v>
      </c>
      <c r="G2839" s="1">
        <v>680569</v>
      </c>
      <c r="H2839" s="1">
        <v>750</v>
      </c>
    </row>
    <row r="2840" spans="1:8" ht="21.75" customHeight="1">
      <c r="A2840" s="1" t="str">
        <f>"1204760000242431"</f>
        <v>1204760000242431</v>
      </c>
      <c r="B2840" s="1" t="s">
        <v>10386</v>
      </c>
      <c r="C2840" s="1" t="s">
        <v>10387</v>
      </c>
      <c r="D2840" s="1" t="s">
        <v>495</v>
      </c>
      <c r="E2840" s="1"/>
      <c r="F2840" s="1" t="s">
        <v>42</v>
      </c>
      <c r="G2840" s="1">
        <v>680569</v>
      </c>
      <c r="H2840" s="1">
        <v>450</v>
      </c>
    </row>
    <row r="2841" spans="1:8" ht="21.75" customHeight="1">
      <c r="A2841" s="1" t="str">
        <f>"1204470001019481"</f>
        <v>1204470001019481</v>
      </c>
      <c r="B2841" s="1" t="s">
        <v>10388</v>
      </c>
      <c r="C2841" s="1" t="s">
        <v>10389</v>
      </c>
      <c r="D2841" s="1" t="s">
        <v>10390</v>
      </c>
      <c r="E2841" s="1" t="s">
        <v>42</v>
      </c>
      <c r="F2841" s="1" t="s">
        <v>42</v>
      </c>
      <c r="G2841" s="1">
        <v>680569</v>
      </c>
      <c r="H2841" s="1">
        <v>337.5</v>
      </c>
    </row>
    <row r="2842" spans="1:8" ht="21.75" customHeight="1">
      <c r="A2842" s="1" t="str">
        <f>"1204470001318248"</f>
        <v>1204470001318248</v>
      </c>
      <c r="B2842" s="1" t="s">
        <v>10391</v>
      </c>
      <c r="C2842" s="1" t="s">
        <v>10392</v>
      </c>
      <c r="D2842" s="1" t="s">
        <v>10393</v>
      </c>
      <c r="E2842" s="1" t="s">
        <v>10394</v>
      </c>
      <c r="F2842" s="1" t="s">
        <v>37</v>
      </c>
      <c r="G2842" s="1">
        <v>680569</v>
      </c>
      <c r="H2842" s="1">
        <v>75</v>
      </c>
    </row>
    <row r="2843" spans="1:8" ht="21.75" customHeight="1">
      <c r="A2843" s="1" t="str">
        <f>"1202390000309108"</f>
        <v>1202390000309108</v>
      </c>
      <c r="B2843" s="1" t="s">
        <v>10395</v>
      </c>
      <c r="C2843" s="1" t="s">
        <v>10396</v>
      </c>
      <c r="D2843" s="1" t="s">
        <v>10397</v>
      </c>
      <c r="E2843" s="1" t="s">
        <v>10327</v>
      </c>
      <c r="F2843" s="1" t="s">
        <v>42</v>
      </c>
      <c r="G2843" s="1">
        <v>680570</v>
      </c>
      <c r="H2843" s="1">
        <v>30</v>
      </c>
    </row>
    <row r="2844" spans="1:8" ht="21.75" customHeight="1">
      <c r="A2844" s="1" t="str">
        <f>"IN30189510497716"</f>
        <v>IN30189510497716</v>
      </c>
      <c r="B2844" s="1" t="s">
        <v>1360</v>
      </c>
      <c r="C2844" s="1" t="s">
        <v>9415</v>
      </c>
      <c r="D2844" s="1" t="s">
        <v>10398</v>
      </c>
      <c r="E2844" s="1" t="s">
        <v>10399</v>
      </c>
      <c r="F2844" s="1"/>
      <c r="G2844" s="1">
        <v>680581</v>
      </c>
      <c r="H2844" s="1">
        <v>9.75</v>
      </c>
    </row>
    <row r="2845" spans="1:8" ht="21.75" customHeight="1">
      <c r="A2845" s="1" t="str">
        <f>"IN30163741073848"</f>
        <v>IN30163741073848</v>
      </c>
      <c r="B2845" s="1" t="s">
        <v>10400</v>
      </c>
      <c r="C2845" s="1" t="s">
        <v>10401</v>
      </c>
      <c r="D2845" s="1" t="s">
        <v>10402</v>
      </c>
      <c r="E2845" s="1" t="s">
        <v>42</v>
      </c>
      <c r="F2845" s="1"/>
      <c r="G2845" s="1">
        <v>680581</v>
      </c>
      <c r="H2845" s="1">
        <v>33.75</v>
      </c>
    </row>
    <row r="2846" spans="1:8" ht="21.75" customHeight="1">
      <c r="A2846" s="1" t="str">
        <f>"1203320003551760"</f>
        <v>1203320003551760</v>
      </c>
      <c r="B2846" s="1" t="s">
        <v>10403</v>
      </c>
      <c r="C2846" s="1" t="s">
        <v>10404</v>
      </c>
      <c r="D2846" s="1" t="s">
        <v>10405</v>
      </c>
      <c r="E2846" s="1"/>
      <c r="F2846" s="1" t="s">
        <v>42</v>
      </c>
      <c r="G2846" s="1">
        <v>680581</v>
      </c>
      <c r="H2846" s="1">
        <v>15</v>
      </c>
    </row>
    <row r="2847" spans="1:8" ht="21.75" customHeight="1">
      <c r="A2847" s="1" t="str">
        <f>"IN30163740872668"</f>
        <v>IN30163740872668</v>
      </c>
      <c r="B2847" s="1" t="s">
        <v>10406</v>
      </c>
      <c r="C2847" s="1" t="s">
        <v>10407</v>
      </c>
      <c r="D2847" s="1" t="s">
        <v>10408</v>
      </c>
      <c r="E2847" s="1" t="s">
        <v>10409</v>
      </c>
      <c r="F2847" s="1"/>
      <c r="G2847" s="1">
        <v>680581</v>
      </c>
      <c r="H2847" s="1">
        <v>0.75</v>
      </c>
    </row>
    <row r="2848" spans="1:8" ht="21.75" customHeight="1">
      <c r="A2848" s="1" t="str">
        <f>"IN30163740245282"</f>
        <v>IN30163740245282</v>
      </c>
      <c r="B2848" s="1" t="s">
        <v>10410</v>
      </c>
      <c r="C2848" s="1" t="s">
        <v>10411</v>
      </c>
      <c r="D2848" s="1" t="s">
        <v>10412</v>
      </c>
      <c r="E2848" s="1" t="s">
        <v>10413</v>
      </c>
      <c r="F2848" s="1"/>
      <c r="G2848" s="1">
        <v>680581</v>
      </c>
      <c r="H2848" s="1">
        <v>750</v>
      </c>
    </row>
    <row r="2849" spans="1:8" ht="21.75" customHeight="1">
      <c r="A2849" s="1" t="str">
        <f>"IN30051312419986"</f>
        <v>IN30051312419986</v>
      </c>
      <c r="B2849" s="1" t="s">
        <v>10414</v>
      </c>
      <c r="C2849" s="1" t="s">
        <v>10415</v>
      </c>
      <c r="D2849" s="1" t="s">
        <v>10416</v>
      </c>
      <c r="E2849" s="1" t="s">
        <v>10011</v>
      </c>
      <c r="F2849" s="1"/>
      <c r="G2849" s="1">
        <v>680581</v>
      </c>
      <c r="H2849" s="1">
        <v>60</v>
      </c>
    </row>
    <row r="2850" spans="1:8" ht="21.75" customHeight="1">
      <c r="A2850" s="1" t="str">
        <f>"IN30163741040359"</f>
        <v>IN30163741040359</v>
      </c>
      <c r="B2850" s="1" t="s">
        <v>10417</v>
      </c>
      <c r="C2850" s="1" t="s">
        <v>10418</v>
      </c>
      <c r="D2850" s="1" t="s">
        <v>10419</v>
      </c>
      <c r="E2850" s="1" t="s">
        <v>42</v>
      </c>
      <c r="F2850" s="1"/>
      <c r="G2850" s="1">
        <v>680585</v>
      </c>
      <c r="H2850" s="1">
        <v>234</v>
      </c>
    </row>
    <row r="2851" spans="1:8" ht="21.75" customHeight="1">
      <c r="A2851" s="1" t="str">
        <f>"1201090012640809"</f>
        <v>1201090012640809</v>
      </c>
      <c r="B2851" s="1" t="s">
        <v>10420</v>
      </c>
      <c r="C2851" s="1" t="s">
        <v>10421</v>
      </c>
      <c r="D2851" s="1" t="s">
        <v>10422</v>
      </c>
      <c r="E2851" s="1"/>
      <c r="F2851" s="1" t="s">
        <v>42</v>
      </c>
      <c r="G2851" s="1">
        <v>680586</v>
      </c>
      <c r="H2851" s="1">
        <v>1.5</v>
      </c>
    </row>
    <row r="2852" spans="1:8" ht="21.75" customHeight="1">
      <c r="A2852" s="1" t="str">
        <f>"IN30023914217784"</f>
        <v>IN30023914217784</v>
      </c>
      <c r="B2852" s="1" t="s">
        <v>10423</v>
      </c>
      <c r="C2852" s="1" t="s">
        <v>10424</v>
      </c>
      <c r="D2852" s="1" t="s">
        <v>10425</v>
      </c>
      <c r="E2852" s="1" t="s">
        <v>10426</v>
      </c>
      <c r="F2852" s="1"/>
      <c r="G2852" s="1">
        <v>680587</v>
      </c>
      <c r="H2852" s="1">
        <v>1.5</v>
      </c>
    </row>
    <row r="2853" spans="1:8" ht="21.75" customHeight="1">
      <c r="A2853" s="1" t="str">
        <f>"1204760000099388"</f>
        <v>1204760000099388</v>
      </c>
      <c r="B2853" s="1" t="s">
        <v>10427</v>
      </c>
      <c r="C2853" s="1" t="s">
        <v>10428</v>
      </c>
      <c r="D2853" s="1" t="s">
        <v>10429</v>
      </c>
      <c r="E2853" s="1"/>
      <c r="F2853" s="1" t="s">
        <v>10429</v>
      </c>
      <c r="G2853" s="1">
        <v>680587</v>
      </c>
      <c r="H2853" s="1">
        <v>1083.75</v>
      </c>
    </row>
    <row r="2854" spans="1:8" ht="21.75" customHeight="1">
      <c r="A2854" s="1" t="str">
        <f>"1201090012671715"</f>
        <v>1201090012671715</v>
      </c>
      <c r="B2854" s="1" t="s">
        <v>428</v>
      </c>
      <c r="C2854" s="1" t="s">
        <v>10430</v>
      </c>
      <c r="D2854" s="1" t="s">
        <v>10431</v>
      </c>
      <c r="E2854" s="1" t="s">
        <v>10432</v>
      </c>
      <c r="F2854" s="1" t="s">
        <v>42</v>
      </c>
      <c r="G2854" s="1">
        <v>680588</v>
      </c>
      <c r="H2854" s="1">
        <v>21.75</v>
      </c>
    </row>
    <row r="2855" spans="1:8" ht="21.75" customHeight="1">
      <c r="A2855" s="1" t="str">
        <f>"IN30189510146916"</f>
        <v>IN30189510146916</v>
      </c>
      <c r="B2855" s="1" t="s">
        <v>10433</v>
      </c>
      <c r="C2855" s="1" t="s">
        <v>10434</v>
      </c>
      <c r="D2855" s="1" t="s">
        <v>10435</v>
      </c>
      <c r="E2855" s="1" t="s">
        <v>5168</v>
      </c>
      <c r="F2855" s="1"/>
      <c r="G2855" s="1">
        <v>680591</v>
      </c>
      <c r="H2855" s="1">
        <v>15</v>
      </c>
    </row>
    <row r="2856" spans="1:8" ht="21.75" customHeight="1">
      <c r="A2856" s="1" t="str">
        <f>"IN30163741157658"</f>
        <v>IN30163741157658</v>
      </c>
      <c r="B2856" s="1" t="s">
        <v>10436</v>
      </c>
      <c r="C2856" s="1" t="s">
        <v>10437</v>
      </c>
      <c r="D2856" s="1" t="s">
        <v>10438</v>
      </c>
      <c r="E2856" s="1" t="s">
        <v>5257</v>
      </c>
      <c r="F2856" s="1"/>
      <c r="G2856" s="1">
        <v>680602</v>
      </c>
      <c r="H2856" s="1">
        <v>30</v>
      </c>
    </row>
    <row r="2857" spans="1:8" ht="21.75" customHeight="1">
      <c r="A2857" s="1" t="str">
        <f>"1203320005016531"</f>
        <v>1203320005016531</v>
      </c>
      <c r="B2857" s="1" t="s">
        <v>10439</v>
      </c>
      <c r="C2857" s="1" t="s">
        <v>10440</v>
      </c>
      <c r="D2857" s="1" t="s">
        <v>10441</v>
      </c>
      <c r="E2857" s="1"/>
      <c r="F2857" s="1" t="s">
        <v>42</v>
      </c>
      <c r="G2857" s="1">
        <v>680612</v>
      </c>
      <c r="H2857" s="1">
        <v>12</v>
      </c>
    </row>
    <row r="2858" spans="1:8" ht="21.75" customHeight="1">
      <c r="A2858" s="1" t="str">
        <f>"1204470003994400"</f>
        <v>1204470003994400</v>
      </c>
      <c r="B2858" s="1" t="s">
        <v>10442</v>
      </c>
      <c r="C2858" s="1" t="s">
        <v>10443</v>
      </c>
      <c r="D2858" s="1"/>
      <c r="E2858" s="1"/>
      <c r="F2858" s="1" t="s">
        <v>42</v>
      </c>
      <c r="G2858" s="1">
        <v>680615</v>
      </c>
      <c r="H2858" s="1">
        <v>31.5</v>
      </c>
    </row>
    <row r="2859" spans="1:8" ht="21.75" customHeight="1">
      <c r="A2859" s="1" t="str">
        <f>"002843"</f>
        <v>002843</v>
      </c>
      <c r="B2859" s="1" t="s">
        <v>10444</v>
      </c>
      <c r="C2859" s="1" t="s">
        <v>10444</v>
      </c>
      <c r="D2859" s="1" t="s">
        <v>10445</v>
      </c>
      <c r="E2859" s="1" t="s">
        <v>10446</v>
      </c>
      <c r="F2859" s="1" t="s">
        <v>37</v>
      </c>
      <c r="G2859" s="1">
        <v>680615</v>
      </c>
      <c r="H2859" s="1">
        <v>1500</v>
      </c>
    </row>
    <row r="2860" spans="1:8" ht="21.75" customHeight="1">
      <c r="A2860" s="1" t="str">
        <f>"1204470003897945"</f>
        <v>1204470003897945</v>
      </c>
      <c r="B2860" s="1" t="s">
        <v>10447</v>
      </c>
      <c r="C2860" s="1" t="s">
        <v>10448</v>
      </c>
      <c r="D2860" s="1" t="s">
        <v>10449</v>
      </c>
      <c r="E2860" s="1" t="s">
        <v>10450</v>
      </c>
      <c r="F2860" s="1" t="s">
        <v>42</v>
      </c>
      <c r="G2860" s="1">
        <v>680615</v>
      </c>
      <c r="H2860" s="1">
        <v>15</v>
      </c>
    </row>
    <row r="2861" spans="1:8" ht="21.75" customHeight="1">
      <c r="A2861" s="1" t="str">
        <f>"1204760000189085"</f>
        <v>1204760000189085</v>
      </c>
      <c r="B2861" s="1" t="s">
        <v>10451</v>
      </c>
      <c r="C2861" s="1" t="s">
        <v>10452</v>
      </c>
      <c r="D2861" s="1" t="s">
        <v>10449</v>
      </c>
      <c r="E2861" s="1"/>
      <c r="F2861" s="1" t="s">
        <v>42</v>
      </c>
      <c r="G2861" s="1">
        <v>680615</v>
      </c>
      <c r="H2861" s="1">
        <v>7.5</v>
      </c>
    </row>
    <row r="2862" spans="1:8" ht="21.75" customHeight="1">
      <c r="A2862" s="1" t="str">
        <f>"IN30189510402832"</f>
        <v>IN30189510402832</v>
      </c>
      <c r="B2862" s="1" t="s">
        <v>10453</v>
      </c>
      <c r="C2862" s="1" t="s">
        <v>10454</v>
      </c>
      <c r="D2862" s="1" t="s">
        <v>10455</v>
      </c>
      <c r="E2862" s="1" t="s">
        <v>10456</v>
      </c>
      <c r="F2862" s="1"/>
      <c r="G2862" s="1">
        <v>680618</v>
      </c>
      <c r="H2862" s="1">
        <v>18.75</v>
      </c>
    </row>
    <row r="2863" spans="1:8" ht="21.75" customHeight="1">
      <c r="A2863" s="1" t="str">
        <f>"IN30163740607396"</f>
        <v>IN30163740607396</v>
      </c>
      <c r="B2863" s="1" t="s">
        <v>10457</v>
      </c>
      <c r="C2863" s="1" t="s">
        <v>10458</v>
      </c>
      <c r="D2863" s="1" t="s">
        <v>10459</v>
      </c>
      <c r="E2863" s="1" t="s">
        <v>10460</v>
      </c>
      <c r="F2863" s="1"/>
      <c r="G2863" s="1">
        <v>680623</v>
      </c>
      <c r="H2863" s="1">
        <v>75</v>
      </c>
    </row>
    <row r="2864" spans="1:8" ht="21.75" customHeight="1">
      <c r="A2864" s="1" t="str">
        <f>"1204760000120286"</f>
        <v>1204760000120286</v>
      </c>
      <c r="B2864" s="1" t="s">
        <v>10461</v>
      </c>
      <c r="C2864" s="1" t="s">
        <v>10462</v>
      </c>
      <c r="D2864" s="1" t="s">
        <v>10463</v>
      </c>
      <c r="E2864" s="1" t="s">
        <v>10464</v>
      </c>
      <c r="F2864" s="1" t="s">
        <v>42</v>
      </c>
      <c r="G2864" s="1">
        <v>680631</v>
      </c>
      <c r="H2864" s="1">
        <v>10.5</v>
      </c>
    </row>
    <row r="2865" spans="1:8" ht="21.75" customHeight="1">
      <c r="A2865" s="1" t="str">
        <f>"IN30163740829704"</f>
        <v>IN30163740829704</v>
      </c>
      <c r="B2865" s="1" t="s">
        <v>10465</v>
      </c>
      <c r="C2865" s="1" t="s">
        <v>10466</v>
      </c>
      <c r="D2865" s="1" t="s">
        <v>10467</v>
      </c>
      <c r="E2865" s="1" t="s">
        <v>5257</v>
      </c>
      <c r="F2865" s="1"/>
      <c r="G2865" s="1">
        <v>680631</v>
      </c>
      <c r="H2865" s="1">
        <v>148.5</v>
      </c>
    </row>
    <row r="2866" spans="1:8" ht="21.75" customHeight="1">
      <c r="A2866" s="1" t="str">
        <f>"1204760000060983"</f>
        <v>1204760000060983</v>
      </c>
      <c r="B2866" s="1" t="s">
        <v>10468</v>
      </c>
      <c r="C2866" s="1" t="s">
        <v>10469</v>
      </c>
      <c r="D2866" s="1" t="s">
        <v>5271</v>
      </c>
      <c r="E2866" s="1" t="s">
        <v>10470</v>
      </c>
      <c r="F2866" s="1" t="s">
        <v>42</v>
      </c>
      <c r="G2866" s="1">
        <v>680631</v>
      </c>
      <c r="H2866" s="1">
        <v>57.75</v>
      </c>
    </row>
    <row r="2867" spans="1:8" ht="21.75" customHeight="1">
      <c r="A2867" s="1" t="str">
        <f>"1201330000496803"</f>
        <v>1201330000496803</v>
      </c>
      <c r="B2867" s="1" t="s">
        <v>10471</v>
      </c>
      <c r="C2867" s="1" t="s">
        <v>10472</v>
      </c>
      <c r="D2867" s="1" t="s">
        <v>10473</v>
      </c>
      <c r="E2867" s="1" t="s">
        <v>10474</v>
      </c>
      <c r="F2867" s="1" t="s">
        <v>42</v>
      </c>
      <c r="G2867" s="1">
        <v>680637</v>
      </c>
      <c r="H2867" s="1">
        <v>54</v>
      </c>
    </row>
    <row r="2868" spans="1:8" ht="21.75" customHeight="1">
      <c r="A2868" s="1" t="str">
        <f>"IN30177415821305"</f>
        <v>IN30177415821305</v>
      </c>
      <c r="B2868" s="1" t="s">
        <v>10475</v>
      </c>
      <c r="C2868" s="1" t="s">
        <v>10476</v>
      </c>
      <c r="D2868" s="1" t="s">
        <v>10477</v>
      </c>
      <c r="E2868" s="1" t="s">
        <v>10478</v>
      </c>
      <c r="F2868" s="1"/>
      <c r="G2868" s="1">
        <v>680641</v>
      </c>
      <c r="H2868" s="1">
        <v>184.5</v>
      </c>
    </row>
    <row r="2869" spans="1:8" ht="21.75" customHeight="1">
      <c r="A2869" s="1" t="str">
        <f>"1203840000658003"</f>
        <v>1203840000658003</v>
      </c>
      <c r="B2869" s="1" t="s">
        <v>10479</v>
      </c>
      <c r="C2869" s="1" t="s">
        <v>10480</v>
      </c>
      <c r="D2869" s="1" t="s">
        <v>10481</v>
      </c>
      <c r="E2869" s="1"/>
      <c r="F2869" s="1" t="s">
        <v>42</v>
      </c>
      <c r="G2869" s="1">
        <v>680641</v>
      </c>
      <c r="H2869" s="1">
        <v>42</v>
      </c>
    </row>
    <row r="2870" spans="1:8" ht="21.75" customHeight="1">
      <c r="A2870" s="1" t="str">
        <f>"IN30051319965266"</f>
        <v>IN30051319965266</v>
      </c>
      <c r="B2870" s="1" t="s">
        <v>10482</v>
      </c>
      <c r="C2870" s="1" t="s">
        <v>10483</v>
      </c>
      <c r="D2870" s="1" t="s">
        <v>10484</v>
      </c>
      <c r="E2870" s="1" t="s">
        <v>10485</v>
      </c>
      <c r="F2870" s="1"/>
      <c r="G2870" s="1">
        <v>680641</v>
      </c>
      <c r="H2870" s="1">
        <v>300</v>
      </c>
    </row>
    <row r="2871" spans="1:8" ht="21.75" customHeight="1">
      <c r="A2871" s="1" t="str">
        <f>"1204760000177261"</f>
        <v>1204760000177261</v>
      </c>
      <c r="B2871" s="1" t="s">
        <v>10486</v>
      </c>
      <c r="C2871" s="1" t="s">
        <v>10487</v>
      </c>
      <c r="D2871" s="1" t="s">
        <v>10488</v>
      </c>
      <c r="E2871" s="1" t="s">
        <v>10489</v>
      </c>
      <c r="F2871" s="1" t="s">
        <v>42</v>
      </c>
      <c r="G2871" s="1">
        <v>680641</v>
      </c>
      <c r="H2871" s="1">
        <v>7.5</v>
      </c>
    </row>
    <row r="2872" spans="1:8" ht="21.75" customHeight="1">
      <c r="A2872" s="1" t="str">
        <f>"IN30181110080267"</f>
        <v>IN30181110080267</v>
      </c>
      <c r="B2872" s="1" t="s">
        <v>10490</v>
      </c>
      <c r="C2872" s="1" t="s">
        <v>10491</v>
      </c>
      <c r="D2872" s="1" t="s">
        <v>10492</v>
      </c>
      <c r="E2872" s="1" t="s">
        <v>10493</v>
      </c>
      <c r="F2872" s="1"/>
      <c r="G2872" s="1">
        <v>680642</v>
      </c>
      <c r="H2872" s="1">
        <v>157.5</v>
      </c>
    </row>
    <row r="2873" spans="1:8" ht="21.75" customHeight="1">
      <c r="A2873" s="1" t="str">
        <f>"IN30089610453945"</f>
        <v>IN30089610453945</v>
      </c>
      <c r="B2873" s="1" t="s">
        <v>10494</v>
      </c>
      <c r="C2873" s="1" t="s">
        <v>10495</v>
      </c>
      <c r="D2873" s="1" t="s">
        <v>10496</v>
      </c>
      <c r="E2873" s="1" t="s">
        <v>10497</v>
      </c>
      <c r="F2873" s="1"/>
      <c r="G2873" s="1">
        <v>680651</v>
      </c>
      <c r="H2873" s="1">
        <v>22.5</v>
      </c>
    </row>
    <row r="2874" spans="1:8" ht="21.75" customHeight="1">
      <c r="A2874" s="1" t="str">
        <f>"IN30089610445154"</f>
        <v>IN30089610445154</v>
      </c>
      <c r="B2874" s="1" t="s">
        <v>10498</v>
      </c>
      <c r="C2874" s="1" t="s">
        <v>10499</v>
      </c>
      <c r="D2874" s="1" t="s">
        <v>9361</v>
      </c>
      <c r="E2874" s="1" t="s">
        <v>10500</v>
      </c>
      <c r="F2874" s="1"/>
      <c r="G2874" s="1">
        <v>680651</v>
      </c>
      <c r="H2874" s="1">
        <v>168.75</v>
      </c>
    </row>
    <row r="2875" spans="1:8" ht="21.75" customHeight="1">
      <c r="A2875" s="1" t="str">
        <f>"IN30189510673674"</f>
        <v>IN30189510673674</v>
      </c>
      <c r="B2875" s="1" t="s">
        <v>10501</v>
      </c>
      <c r="C2875" s="1" t="s">
        <v>10502</v>
      </c>
      <c r="D2875" s="1" t="s">
        <v>10503</v>
      </c>
      <c r="E2875" s="1" t="s">
        <v>10504</v>
      </c>
      <c r="F2875" s="1"/>
      <c r="G2875" s="1">
        <v>680652</v>
      </c>
      <c r="H2875" s="1">
        <v>22.5</v>
      </c>
    </row>
    <row r="2876" spans="1:8" ht="21.75" customHeight="1">
      <c r="A2876" s="1" t="str">
        <f>"1202390000227160"</f>
        <v>1202390000227160</v>
      </c>
      <c r="B2876" s="1" t="s">
        <v>10505</v>
      </c>
      <c r="C2876" s="1" t="s">
        <v>5479</v>
      </c>
      <c r="D2876" s="1" t="s">
        <v>10506</v>
      </c>
      <c r="E2876" s="1" t="s">
        <v>5293</v>
      </c>
      <c r="F2876" s="1" t="s">
        <v>42</v>
      </c>
      <c r="G2876" s="1">
        <v>680657</v>
      </c>
      <c r="H2876" s="1">
        <v>330</v>
      </c>
    </row>
    <row r="2877" spans="1:8" ht="21.75" customHeight="1">
      <c r="A2877" s="1" t="str">
        <f>"IN30163740029576"</f>
        <v>IN30163740029576</v>
      </c>
      <c r="B2877" s="1" t="s">
        <v>10507</v>
      </c>
      <c r="C2877" s="1" t="s">
        <v>10061</v>
      </c>
      <c r="D2877" s="1" t="s">
        <v>10508</v>
      </c>
      <c r="E2877" s="1" t="s">
        <v>10509</v>
      </c>
      <c r="F2877" s="1"/>
      <c r="G2877" s="1">
        <v>680661</v>
      </c>
      <c r="H2877" s="1">
        <v>15</v>
      </c>
    </row>
    <row r="2878" spans="1:8" ht="21.75" customHeight="1">
      <c r="A2878" s="1" t="str">
        <f>"IN30163741441696"</f>
        <v>IN30163741441696</v>
      </c>
      <c r="B2878" s="1" t="s">
        <v>10510</v>
      </c>
      <c r="C2878" s="1" t="s">
        <v>10511</v>
      </c>
      <c r="D2878" s="1" t="s">
        <v>10512</v>
      </c>
      <c r="E2878" s="1" t="s">
        <v>10513</v>
      </c>
      <c r="F2878" s="1"/>
      <c r="G2878" s="1">
        <v>680661</v>
      </c>
      <c r="H2878" s="1">
        <v>0.75</v>
      </c>
    </row>
    <row r="2879" spans="1:8" ht="21.75" customHeight="1">
      <c r="A2879" s="1" t="str">
        <f>"1202300000867195"</f>
        <v>1202300000867195</v>
      </c>
      <c r="B2879" s="1" t="s">
        <v>10514</v>
      </c>
      <c r="C2879" s="1" t="s">
        <v>10515</v>
      </c>
      <c r="D2879" s="1" t="s">
        <v>10516</v>
      </c>
      <c r="E2879" s="1" t="s">
        <v>10517</v>
      </c>
      <c r="F2879" s="1" t="s">
        <v>530</v>
      </c>
      <c r="G2879" s="1">
        <v>680664</v>
      </c>
      <c r="H2879" s="1">
        <v>97.5</v>
      </c>
    </row>
    <row r="2880" spans="1:8" ht="21.75" customHeight="1">
      <c r="A2880" s="1" t="str">
        <f>"IN30089610414303"</f>
        <v>IN30089610414303</v>
      </c>
      <c r="B2880" s="1" t="s">
        <v>10518</v>
      </c>
      <c r="C2880" s="1" t="s">
        <v>10519</v>
      </c>
      <c r="D2880" s="1" t="s">
        <v>530</v>
      </c>
      <c r="E2880" s="1" t="s">
        <v>10520</v>
      </c>
      <c r="F2880" s="1"/>
      <c r="G2880" s="1">
        <v>680664</v>
      </c>
      <c r="H2880" s="1">
        <v>6.75</v>
      </c>
    </row>
    <row r="2881" spans="1:8" ht="21.75" customHeight="1">
      <c r="A2881" s="1" t="str">
        <f>"IN30226913228803"</f>
        <v>IN30226913228803</v>
      </c>
      <c r="B2881" s="1" t="s">
        <v>10521</v>
      </c>
      <c r="C2881" s="1" t="s">
        <v>10522</v>
      </c>
      <c r="D2881" s="1" t="s">
        <v>10523</v>
      </c>
      <c r="E2881" s="1" t="s">
        <v>10184</v>
      </c>
      <c r="F2881" s="1"/>
      <c r="G2881" s="1">
        <v>680664</v>
      </c>
      <c r="H2881" s="1">
        <v>24.75</v>
      </c>
    </row>
    <row r="2882" spans="1:8" ht="21.75" customHeight="1">
      <c r="A2882" s="1" t="str">
        <f>"IN30039416438333"</f>
        <v>IN30039416438333</v>
      </c>
      <c r="B2882" s="1" t="s">
        <v>10524</v>
      </c>
      <c r="C2882" s="1" t="s">
        <v>10525</v>
      </c>
      <c r="D2882" s="1" t="s">
        <v>10526</v>
      </c>
      <c r="E2882" s="1" t="s">
        <v>10527</v>
      </c>
      <c r="F2882" s="1"/>
      <c r="G2882" s="1">
        <v>680664</v>
      </c>
      <c r="H2882" s="1">
        <v>3</v>
      </c>
    </row>
    <row r="2883" spans="1:8" ht="21.75" customHeight="1">
      <c r="A2883" s="1" t="str">
        <f>"1201330000291541"</f>
        <v>1201330000291541</v>
      </c>
      <c r="B2883" s="1" t="s">
        <v>10528</v>
      </c>
      <c r="C2883" s="1" t="s">
        <v>10529</v>
      </c>
      <c r="D2883" s="1" t="s">
        <v>10530</v>
      </c>
      <c r="E2883" s="1" t="s">
        <v>42</v>
      </c>
      <c r="F2883" s="1" t="s">
        <v>42</v>
      </c>
      <c r="G2883" s="1">
        <v>680666</v>
      </c>
      <c r="H2883" s="1">
        <v>22.5</v>
      </c>
    </row>
    <row r="2884" spans="1:8" ht="21.75" customHeight="1">
      <c r="A2884" s="1" t="str">
        <f>"IN30051312169820"</f>
        <v>IN30051312169820</v>
      </c>
      <c r="B2884" s="1" t="s">
        <v>10531</v>
      </c>
      <c r="C2884" s="1" t="s">
        <v>10532</v>
      </c>
      <c r="D2884" s="1" t="s">
        <v>10029</v>
      </c>
      <c r="E2884" s="1" t="s">
        <v>10533</v>
      </c>
      <c r="F2884" s="1"/>
      <c r="G2884" s="1">
        <v>680667</v>
      </c>
      <c r="H2884" s="1">
        <v>150</v>
      </c>
    </row>
    <row r="2885" spans="1:8" ht="21.75" customHeight="1">
      <c r="A2885" s="1" t="str">
        <f>"IN30163740416695"</f>
        <v>IN30163740416695</v>
      </c>
      <c r="B2885" s="1" t="s">
        <v>10534</v>
      </c>
      <c r="C2885" s="1" t="s">
        <v>9953</v>
      </c>
      <c r="D2885" s="1" t="s">
        <v>10535</v>
      </c>
      <c r="E2885" s="1" t="s">
        <v>530</v>
      </c>
      <c r="F2885" s="1"/>
      <c r="G2885" s="1">
        <v>680668</v>
      </c>
      <c r="H2885" s="1">
        <v>300</v>
      </c>
    </row>
    <row r="2886" spans="1:8" ht="21.75" customHeight="1">
      <c r="A2886" s="1" t="str">
        <f>"1201090001752401"</f>
        <v>1201090001752401</v>
      </c>
      <c r="B2886" s="1" t="s">
        <v>10536</v>
      </c>
      <c r="C2886" s="1" t="s">
        <v>10537</v>
      </c>
      <c r="D2886" s="1" t="s">
        <v>10538</v>
      </c>
      <c r="E2886" s="1" t="s">
        <v>530</v>
      </c>
      <c r="F2886" s="1" t="s">
        <v>42</v>
      </c>
      <c r="G2886" s="1">
        <v>680671</v>
      </c>
      <c r="H2886" s="1">
        <v>75</v>
      </c>
    </row>
    <row r="2887" spans="1:8" ht="21.75" customHeight="1">
      <c r="A2887" s="1" t="str">
        <f>"IN30189510613960"</f>
        <v>IN30189510613960</v>
      </c>
      <c r="B2887" s="1" t="s">
        <v>10539</v>
      </c>
      <c r="C2887" s="1" t="s">
        <v>10220</v>
      </c>
      <c r="D2887" s="1" t="s">
        <v>525</v>
      </c>
      <c r="E2887" s="1" t="s">
        <v>10540</v>
      </c>
      <c r="F2887" s="1"/>
      <c r="G2887" s="1">
        <v>680672</v>
      </c>
      <c r="H2887" s="1">
        <v>75</v>
      </c>
    </row>
    <row r="2888" spans="1:8" ht="21.75" customHeight="1">
      <c r="A2888" s="1" t="str">
        <f>"1202390000226251"</f>
        <v>1202390000226251</v>
      </c>
      <c r="B2888" s="1" t="s">
        <v>10541</v>
      </c>
      <c r="C2888" s="1" t="s">
        <v>10542</v>
      </c>
      <c r="D2888" s="1" t="s">
        <v>10543</v>
      </c>
      <c r="E2888" s="1"/>
      <c r="F2888" s="1" t="s">
        <v>42</v>
      </c>
      <c r="G2888" s="1">
        <v>680681</v>
      </c>
      <c r="H2888" s="1">
        <v>0.75</v>
      </c>
    </row>
    <row r="2889" spans="1:8" ht="21.75" customHeight="1">
      <c r="A2889" s="1" t="str">
        <f>"1204760000137488"</f>
        <v>1204760000137488</v>
      </c>
      <c r="B2889" s="1" t="s">
        <v>10544</v>
      </c>
      <c r="C2889" s="1" t="s">
        <v>10545</v>
      </c>
      <c r="D2889" s="1" t="s">
        <v>10546</v>
      </c>
      <c r="E2889" s="1" t="s">
        <v>10547</v>
      </c>
      <c r="F2889" s="1" t="s">
        <v>42</v>
      </c>
      <c r="G2889" s="1">
        <v>680683</v>
      </c>
      <c r="H2889" s="1">
        <v>1.5</v>
      </c>
    </row>
    <row r="2890" spans="1:8" ht="21.75" customHeight="1">
      <c r="A2890" s="1" t="str">
        <f>"1204760000138249"</f>
        <v>1204760000138249</v>
      </c>
      <c r="B2890" s="1" t="s">
        <v>10548</v>
      </c>
      <c r="C2890" s="1" t="s">
        <v>10549</v>
      </c>
      <c r="D2890" s="1" t="s">
        <v>10550</v>
      </c>
      <c r="E2890" s="1"/>
      <c r="F2890" s="1" t="s">
        <v>5310</v>
      </c>
      <c r="G2890" s="1">
        <v>680683</v>
      </c>
      <c r="H2890" s="1">
        <v>1.5</v>
      </c>
    </row>
    <row r="2891" spans="1:8" ht="21.75" customHeight="1">
      <c r="A2891" s="1" t="str">
        <f>"IN30163740790453"</f>
        <v>IN30163740790453</v>
      </c>
      <c r="B2891" s="1" t="s">
        <v>10551</v>
      </c>
      <c r="C2891" s="1" t="s">
        <v>10552</v>
      </c>
      <c r="D2891" s="1" t="s">
        <v>10553</v>
      </c>
      <c r="E2891" s="1" t="s">
        <v>10554</v>
      </c>
      <c r="F2891" s="1"/>
      <c r="G2891" s="1">
        <v>680683</v>
      </c>
      <c r="H2891" s="1">
        <v>0.75</v>
      </c>
    </row>
    <row r="2892" spans="1:8" ht="21.75" customHeight="1">
      <c r="A2892" s="1" t="str">
        <f>"1204470005215252"</f>
        <v>1204470005215252</v>
      </c>
      <c r="B2892" s="1" t="s">
        <v>10555</v>
      </c>
      <c r="C2892" s="1" t="s">
        <v>10556</v>
      </c>
      <c r="D2892" s="1" t="s">
        <v>10557</v>
      </c>
      <c r="E2892" s="1"/>
      <c r="F2892" s="1" t="s">
        <v>42</v>
      </c>
      <c r="G2892" s="1">
        <v>680683</v>
      </c>
      <c r="H2892" s="1">
        <v>1.5</v>
      </c>
    </row>
    <row r="2893" spans="1:8" ht="21.75" customHeight="1">
      <c r="A2893" s="1" t="str">
        <f>"IN30163740880764"</f>
        <v>IN30163740880764</v>
      </c>
      <c r="B2893" s="1" t="s">
        <v>10558</v>
      </c>
      <c r="C2893" s="1" t="s">
        <v>10559</v>
      </c>
      <c r="D2893" s="1" t="s">
        <v>10560</v>
      </c>
      <c r="E2893" s="1" t="s">
        <v>10011</v>
      </c>
      <c r="F2893" s="1"/>
      <c r="G2893" s="1">
        <v>680685</v>
      </c>
      <c r="H2893" s="1">
        <v>135</v>
      </c>
    </row>
    <row r="2894" spans="1:8" ht="21.75" customHeight="1">
      <c r="A2894" s="1" t="str">
        <f>"1202390000191901"</f>
        <v>1202390000191901</v>
      </c>
      <c r="B2894" s="1" t="s">
        <v>10561</v>
      </c>
      <c r="C2894" s="1" t="s">
        <v>10562</v>
      </c>
      <c r="D2894" s="1" t="s">
        <v>10563</v>
      </c>
      <c r="E2894" s="1"/>
      <c r="F2894" s="1" t="s">
        <v>42</v>
      </c>
      <c r="G2894" s="1">
        <v>680686</v>
      </c>
      <c r="H2894" s="1">
        <v>0.75</v>
      </c>
    </row>
    <row r="2895" spans="1:8" ht="21.75" customHeight="1">
      <c r="A2895" s="1" t="str">
        <f>"IN30163740631880"</f>
        <v>IN30163740631880</v>
      </c>
      <c r="B2895" s="1" t="s">
        <v>10564</v>
      </c>
      <c r="C2895" s="1" t="s">
        <v>10565</v>
      </c>
      <c r="D2895" s="1" t="s">
        <v>10566</v>
      </c>
      <c r="E2895" s="1" t="s">
        <v>10567</v>
      </c>
      <c r="F2895" s="1"/>
      <c r="G2895" s="1">
        <v>680686</v>
      </c>
      <c r="H2895" s="1">
        <v>15</v>
      </c>
    </row>
    <row r="2896" spans="1:8" ht="21.75" customHeight="1">
      <c r="A2896" s="1" t="str">
        <f>"IN30163740999872"</f>
        <v>IN30163740999872</v>
      </c>
      <c r="B2896" s="1" t="s">
        <v>10568</v>
      </c>
      <c r="C2896" s="1" t="s">
        <v>10569</v>
      </c>
      <c r="D2896" s="1" t="s">
        <v>10570</v>
      </c>
      <c r="E2896" s="1" t="s">
        <v>42</v>
      </c>
      <c r="F2896" s="1"/>
      <c r="G2896" s="1">
        <v>680686</v>
      </c>
      <c r="H2896" s="1">
        <v>0.75</v>
      </c>
    </row>
    <row r="2897" spans="1:8" ht="21.75" customHeight="1">
      <c r="A2897" s="1" t="str">
        <f>"1204760000199127"</f>
        <v>1204760000199127</v>
      </c>
      <c r="B2897" s="1" t="s">
        <v>10571</v>
      </c>
      <c r="C2897" s="1" t="s">
        <v>10572</v>
      </c>
      <c r="D2897" s="1" t="s">
        <v>10573</v>
      </c>
      <c r="E2897" s="1"/>
      <c r="F2897" s="1" t="s">
        <v>42</v>
      </c>
      <c r="G2897" s="1">
        <v>680687</v>
      </c>
      <c r="H2897" s="1">
        <v>22.5</v>
      </c>
    </row>
    <row r="2898" spans="1:8" ht="21.75" customHeight="1">
      <c r="A2898" s="1" t="str">
        <f>"1204760000089430"</f>
        <v>1204760000089430</v>
      </c>
      <c r="B2898" s="1" t="s">
        <v>10574</v>
      </c>
      <c r="C2898" s="1" t="s">
        <v>10575</v>
      </c>
      <c r="D2898" s="1" t="s">
        <v>10576</v>
      </c>
      <c r="E2898" s="1"/>
      <c r="F2898" s="1" t="s">
        <v>10577</v>
      </c>
      <c r="G2898" s="1">
        <v>680687</v>
      </c>
      <c r="H2898" s="1">
        <v>750</v>
      </c>
    </row>
    <row r="2899" spans="1:8" ht="21.75" customHeight="1">
      <c r="A2899" s="1" t="str">
        <f>"1204470005213766"</f>
        <v>1204470005213766</v>
      </c>
      <c r="B2899" s="1" t="s">
        <v>10578</v>
      </c>
      <c r="C2899" s="1" t="s">
        <v>10579</v>
      </c>
      <c r="D2899" s="1" t="s">
        <v>10580</v>
      </c>
      <c r="E2899" s="1"/>
      <c r="F2899" s="1" t="s">
        <v>42</v>
      </c>
      <c r="G2899" s="1">
        <v>680687</v>
      </c>
      <c r="H2899" s="1">
        <v>182.25</v>
      </c>
    </row>
    <row r="2900" spans="1:8" ht="21.75" customHeight="1">
      <c r="A2900" s="1" t="str">
        <f>"1204760000239604"</f>
        <v>1204760000239604</v>
      </c>
      <c r="B2900" s="1" t="s">
        <v>10581</v>
      </c>
      <c r="C2900" s="1" t="s">
        <v>10582</v>
      </c>
      <c r="D2900" s="1" t="s">
        <v>10583</v>
      </c>
      <c r="E2900" s="1"/>
      <c r="F2900" s="1" t="s">
        <v>42</v>
      </c>
      <c r="G2900" s="1">
        <v>680689</v>
      </c>
      <c r="H2900" s="1">
        <v>187.5</v>
      </c>
    </row>
    <row r="2901" spans="1:8" ht="21.75" customHeight="1">
      <c r="A2901" s="1" t="str">
        <f>"1202980000236800"</f>
        <v>1202980000236800</v>
      </c>
      <c r="B2901" s="1" t="s">
        <v>10584</v>
      </c>
      <c r="C2901" s="1" t="s">
        <v>10585</v>
      </c>
      <c r="D2901" s="1" t="s">
        <v>10586</v>
      </c>
      <c r="E2901" s="1" t="s">
        <v>10587</v>
      </c>
      <c r="F2901" s="1" t="s">
        <v>42</v>
      </c>
      <c r="G2901" s="1">
        <v>680699</v>
      </c>
      <c r="H2901" s="1">
        <v>75</v>
      </c>
    </row>
    <row r="2902" spans="1:8" ht="21.75" customHeight="1">
      <c r="A2902" s="1" t="str">
        <f>"1203320005193901"</f>
        <v>1203320005193901</v>
      </c>
      <c r="B2902" s="1" t="s">
        <v>10588</v>
      </c>
      <c r="C2902" s="1" t="s">
        <v>10589</v>
      </c>
      <c r="D2902" s="1" t="s">
        <v>10590</v>
      </c>
      <c r="E2902" s="1" t="s">
        <v>10591</v>
      </c>
      <c r="F2902" s="1" t="s">
        <v>42</v>
      </c>
      <c r="G2902" s="1">
        <v>680699</v>
      </c>
      <c r="H2902" s="1">
        <v>6.75</v>
      </c>
    </row>
    <row r="2903" spans="1:8" ht="21.75" customHeight="1">
      <c r="A2903" s="1" t="str">
        <f>"1203840001244159"</f>
        <v>1203840001244159</v>
      </c>
      <c r="B2903" s="1" t="s">
        <v>10592</v>
      </c>
      <c r="C2903" s="1" t="s">
        <v>10593</v>
      </c>
      <c r="D2903" s="1" t="s">
        <v>10594</v>
      </c>
      <c r="E2903" s="1"/>
      <c r="F2903" s="1" t="s">
        <v>42</v>
      </c>
      <c r="G2903" s="1">
        <v>680701</v>
      </c>
      <c r="H2903" s="1">
        <v>183</v>
      </c>
    </row>
    <row r="2904" spans="1:8" ht="21.75" customHeight="1">
      <c r="A2904" s="1" t="str">
        <f>"IN30169611850172"</f>
        <v>IN30169611850172</v>
      </c>
      <c r="B2904" s="1" t="s">
        <v>10595</v>
      </c>
      <c r="C2904" s="1" t="s">
        <v>10596</v>
      </c>
      <c r="D2904" s="1" t="s">
        <v>10597</v>
      </c>
      <c r="E2904" s="1" t="s">
        <v>474</v>
      </c>
      <c r="F2904" s="1"/>
      <c r="G2904" s="1">
        <v>680702</v>
      </c>
      <c r="H2904" s="1">
        <v>999.75</v>
      </c>
    </row>
    <row r="2905" spans="1:8" ht="21.75" customHeight="1">
      <c r="A2905" s="1" t="str">
        <f>"IN30163740755090"</f>
        <v>IN30163740755090</v>
      </c>
      <c r="B2905" s="1" t="s">
        <v>10598</v>
      </c>
      <c r="C2905" s="1" t="s">
        <v>5315</v>
      </c>
      <c r="D2905" s="1" t="s">
        <v>10599</v>
      </c>
      <c r="E2905" s="1" t="s">
        <v>10600</v>
      </c>
      <c r="F2905" s="1"/>
      <c r="G2905" s="1">
        <v>680702</v>
      </c>
      <c r="H2905" s="1">
        <v>0.75</v>
      </c>
    </row>
    <row r="2906" spans="1:8" ht="21.75" customHeight="1">
      <c r="A2906" s="1" t="str">
        <f>"IN30163740086599"</f>
        <v>IN30163740086599</v>
      </c>
      <c r="B2906" s="1" t="s">
        <v>10601</v>
      </c>
      <c r="C2906" s="1" t="s">
        <v>10602</v>
      </c>
      <c r="D2906" s="1" t="s">
        <v>10603</v>
      </c>
      <c r="E2906" s="1" t="s">
        <v>10604</v>
      </c>
      <c r="F2906" s="1"/>
      <c r="G2906" s="1">
        <v>680703</v>
      </c>
      <c r="H2906" s="1">
        <v>75</v>
      </c>
    </row>
    <row r="2907" spans="1:8" ht="21.75" customHeight="1">
      <c r="A2907" s="1" t="str">
        <f>"1204760000216652"</f>
        <v>1204760000216652</v>
      </c>
      <c r="B2907" s="1" t="s">
        <v>10605</v>
      </c>
      <c r="C2907" s="1" t="s">
        <v>10542</v>
      </c>
      <c r="D2907" s="1" t="s">
        <v>10606</v>
      </c>
      <c r="E2907" s="1"/>
      <c r="F2907" s="1" t="s">
        <v>42</v>
      </c>
      <c r="G2907" s="1">
        <v>680703</v>
      </c>
      <c r="H2907" s="1">
        <v>12</v>
      </c>
    </row>
    <row r="2908" spans="1:8" ht="21.75" customHeight="1">
      <c r="A2908" s="1" t="str">
        <f>"1201090012867206"</f>
        <v>1201090012867206</v>
      </c>
      <c r="B2908" s="1" t="s">
        <v>10607</v>
      </c>
      <c r="C2908" s="1" t="s">
        <v>10608</v>
      </c>
      <c r="D2908" s="1" t="s">
        <v>10609</v>
      </c>
      <c r="E2908" s="1"/>
      <c r="F2908" s="1" t="s">
        <v>42</v>
      </c>
      <c r="G2908" s="1">
        <v>680703</v>
      </c>
      <c r="H2908" s="1">
        <v>136.5</v>
      </c>
    </row>
    <row r="2909" spans="1:8" ht="21.75" customHeight="1">
      <c r="A2909" s="1" t="str">
        <f>"IN30181110161497"</f>
        <v>IN30181110161497</v>
      </c>
      <c r="B2909" s="1" t="s">
        <v>10610</v>
      </c>
      <c r="C2909" s="1" t="s">
        <v>10611</v>
      </c>
      <c r="D2909" s="1" t="s">
        <v>10612</v>
      </c>
      <c r="E2909" s="1" t="s">
        <v>42</v>
      </c>
      <c r="F2909" s="1"/>
      <c r="G2909" s="1">
        <v>680717</v>
      </c>
      <c r="H2909" s="1">
        <v>4.5</v>
      </c>
    </row>
    <row r="2910" spans="1:8" ht="21.75" customHeight="1">
      <c r="A2910" s="1" t="str">
        <f>"1204760000150490"</f>
        <v>1204760000150490</v>
      </c>
      <c r="B2910" s="1" t="s">
        <v>10613</v>
      </c>
      <c r="C2910" s="1" t="s">
        <v>10614</v>
      </c>
      <c r="D2910" s="1" t="s">
        <v>10615</v>
      </c>
      <c r="E2910" s="1" t="s">
        <v>10616</v>
      </c>
      <c r="F2910" s="1" t="s">
        <v>42</v>
      </c>
      <c r="G2910" s="1">
        <v>680721</v>
      </c>
      <c r="H2910" s="1">
        <v>150</v>
      </c>
    </row>
    <row r="2911" spans="1:8" ht="21.75" customHeight="1">
      <c r="A2911" s="1" t="str">
        <f>"IN30163740909690"</f>
        <v>IN30163740909690</v>
      </c>
      <c r="B2911" s="1" t="s">
        <v>10617</v>
      </c>
      <c r="C2911" s="1" t="s">
        <v>10618</v>
      </c>
      <c r="D2911" s="1" t="s">
        <v>10619</v>
      </c>
      <c r="E2911" s="1" t="s">
        <v>10620</v>
      </c>
      <c r="F2911" s="1"/>
      <c r="G2911" s="1">
        <v>680721</v>
      </c>
      <c r="H2911" s="1">
        <v>37.5</v>
      </c>
    </row>
    <row r="2912" spans="1:8" ht="21.75" customHeight="1">
      <c r="A2912" s="1" t="str">
        <f>"IN30163741220466"</f>
        <v>IN30163741220466</v>
      </c>
      <c r="B2912" s="1" t="s">
        <v>10621</v>
      </c>
      <c r="C2912" s="1" t="s">
        <v>10622</v>
      </c>
      <c r="D2912" s="1" t="s">
        <v>10623</v>
      </c>
      <c r="E2912" s="1" t="s">
        <v>10624</v>
      </c>
      <c r="F2912" s="1"/>
      <c r="G2912" s="1">
        <v>680721</v>
      </c>
      <c r="H2912" s="1">
        <v>75</v>
      </c>
    </row>
    <row r="2913" spans="1:8" ht="21.75" customHeight="1">
      <c r="A2913" s="1" t="str">
        <f>"1201090012574223"</f>
        <v>1201090012574223</v>
      </c>
      <c r="B2913" s="1" t="s">
        <v>10625</v>
      </c>
      <c r="C2913" s="1" t="s">
        <v>10018</v>
      </c>
      <c r="D2913" s="1" t="s">
        <v>10626</v>
      </c>
      <c r="E2913" s="1" t="s">
        <v>10627</v>
      </c>
      <c r="F2913" s="1" t="s">
        <v>42</v>
      </c>
      <c r="G2913" s="1">
        <v>680722</v>
      </c>
      <c r="H2913" s="1">
        <v>75</v>
      </c>
    </row>
    <row r="2914" spans="1:8" ht="21.75" customHeight="1">
      <c r="A2914" s="1" t="str">
        <f>"1201090012573838"</f>
        <v>1201090012573838</v>
      </c>
      <c r="B2914" s="1" t="s">
        <v>10628</v>
      </c>
      <c r="C2914" s="1" t="s">
        <v>10629</v>
      </c>
      <c r="D2914" s="1" t="s">
        <v>10630</v>
      </c>
      <c r="E2914" s="1" t="s">
        <v>10631</v>
      </c>
      <c r="F2914" s="1" t="s">
        <v>42</v>
      </c>
      <c r="G2914" s="1">
        <v>680732</v>
      </c>
      <c r="H2914" s="1">
        <v>150</v>
      </c>
    </row>
    <row r="2915" spans="1:8" ht="21.75" customHeight="1">
      <c r="A2915" s="1" t="str">
        <f>"1202390000293758"</f>
        <v>1202390000293758</v>
      </c>
      <c r="B2915" s="1" t="s">
        <v>10632</v>
      </c>
      <c r="C2915" s="1" t="s">
        <v>10633</v>
      </c>
      <c r="D2915" s="1" t="s">
        <v>10634</v>
      </c>
      <c r="E2915" s="1" t="s">
        <v>10635</v>
      </c>
      <c r="F2915" s="1" t="s">
        <v>410</v>
      </c>
      <c r="G2915" s="1">
        <v>680734</v>
      </c>
      <c r="H2915" s="1">
        <v>150</v>
      </c>
    </row>
    <row r="2916" spans="1:8" ht="21.75" customHeight="1">
      <c r="A2916" s="1" t="str">
        <f>"IN30181110116444"</f>
        <v>IN30181110116444</v>
      </c>
      <c r="B2916" s="1" t="s">
        <v>10636</v>
      </c>
      <c r="C2916" s="1" t="s">
        <v>10637</v>
      </c>
      <c r="D2916" s="1" t="s">
        <v>10638</v>
      </c>
      <c r="E2916" s="1" t="s">
        <v>42</v>
      </c>
      <c r="F2916" s="1"/>
      <c r="G2916" s="1">
        <v>680741</v>
      </c>
      <c r="H2916" s="1">
        <v>127.5</v>
      </c>
    </row>
    <row r="2917" spans="1:8" ht="21.75" customHeight="1">
      <c r="A2917" s="1" t="str">
        <f>"1204470005620230"</f>
        <v>1204470005620230</v>
      </c>
      <c r="B2917" s="1" t="s">
        <v>10640</v>
      </c>
      <c r="C2917" s="1" t="s">
        <v>10641</v>
      </c>
      <c r="D2917" s="1" t="s">
        <v>10642</v>
      </c>
      <c r="E2917" s="1"/>
      <c r="F2917" s="1" t="s">
        <v>37</v>
      </c>
      <c r="G2917" s="1">
        <v>680741</v>
      </c>
      <c r="H2917" s="1">
        <v>36</v>
      </c>
    </row>
    <row r="2918" spans="1:8" ht="21.75" customHeight="1">
      <c r="A2918" s="1" t="str">
        <f>"IN30089610502519"</f>
        <v>IN30089610502519</v>
      </c>
      <c r="B2918" s="1" t="s">
        <v>10643</v>
      </c>
      <c r="C2918" s="1" t="s">
        <v>10644</v>
      </c>
      <c r="D2918" s="1" t="s">
        <v>10645</v>
      </c>
      <c r="E2918" s="1" t="s">
        <v>10011</v>
      </c>
      <c r="F2918" s="1"/>
      <c r="G2918" s="1">
        <v>680751</v>
      </c>
      <c r="H2918" s="1">
        <v>48.75</v>
      </c>
    </row>
    <row r="2919" spans="1:8" ht="21.75" customHeight="1">
      <c r="A2919" s="1" t="str">
        <f>"1202980000217678"</f>
        <v>1202980000217678</v>
      </c>
      <c r="B2919" s="1" t="s">
        <v>10646</v>
      </c>
      <c r="C2919" s="1" t="s">
        <v>10647</v>
      </c>
      <c r="D2919" s="1" t="s">
        <v>10648</v>
      </c>
      <c r="E2919" s="1"/>
      <c r="F2919" s="1" t="s">
        <v>42</v>
      </c>
      <c r="G2919" s="1">
        <v>680752</v>
      </c>
      <c r="H2919" s="1">
        <v>75</v>
      </c>
    </row>
    <row r="2920" spans="1:8" ht="21.75" customHeight="1">
      <c r="A2920" s="1" t="str">
        <f>"1204470002986736"</f>
        <v>1204470002986736</v>
      </c>
      <c r="B2920" s="1" t="s">
        <v>10649</v>
      </c>
      <c r="C2920" s="1" t="s">
        <v>10650</v>
      </c>
      <c r="D2920" s="1" t="s">
        <v>10651</v>
      </c>
      <c r="E2920" s="1"/>
      <c r="F2920" s="1" t="s">
        <v>10652</v>
      </c>
      <c r="G2920" s="1">
        <v>681567</v>
      </c>
      <c r="H2920" s="1">
        <v>5.25</v>
      </c>
    </row>
    <row r="2921" spans="1:8" ht="21.75" customHeight="1">
      <c r="A2921" s="1" t="str">
        <f>"1205670000097711"</f>
        <v>1205670000097711</v>
      </c>
      <c r="B2921" s="1" t="s">
        <v>10653</v>
      </c>
      <c r="C2921" s="1" t="s">
        <v>10654</v>
      </c>
      <c r="D2921" s="1" t="s">
        <v>10655</v>
      </c>
      <c r="E2921" s="1" t="s">
        <v>10656</v>
      </c>
      <c r="F2921" s="1" t="s">
        <v>52</v>
      </c>
      <c r="G2921" s="1">
        <v>682002</v>
      </c>
      <c r="H2921" s="1">
        <v>15</v>
      </c>
    </row>
    <row r="2922" spans="1:8" ht="21.75" customHeight="1">
      <c r="A2922" s="1" t="str">
        <f>"IN30177414101178"</f>
        <v>IN30177414101178</v>
      </c>
      <c r="B2922" s="1" t="s">
        <v>10657</v>
      </c>
      <c r="C2922" s="1" t="s">
        <v>10658</v>
      </c>
      <c r="D2922" s="1" t="s">
        <v>10659</v>
      </c>
      <c r="E2922" s="1" t="s">
        <v>10660</v>
      </c>
      <c r="F2922" s="1"/>
      <c r="G2922" s="1">
        <v>682002</v>
      </c>
      <c r="H2922" s="1">
        <v>37.5</v>
      </c>
    </row>
    <row r="2923" spans="1:8" ht="21.75" customHeight="1">
      <c r="A2923" s="1" t="str">
        <f>"IN30181110154925"</f>
        <v>IN30181110154925</v>
      </c>
      <c r="B2923" s="1" t="s">
        <v>10661</v>
      </c>
      <c r="C2923" s="1" t="s">
        <v>10662</v>
      </c>
      <c r="D2923" s="1" t="s">
        <v>10663</v>
      </c>
      <c r="E2923" s="1" t="s">
        <v>10664</v>
      </c>
      <c r="F2923" s="1"/>
      <c r="G2923" s="1">
        <v>682002</v>
      </c>
      <c r="H2923" s="1">
        <v>2.25</v>
      </c>
    </row>
    <row r="2924" spans="1:8" ht="21.75" customHeight="1">
      <c r="A2924" s="1" t="str">
        <f>"IN30155721014413"</f>
        <v>IN30155721014413</v>
      </c>
      <c r="B2924" s="1" t="s">
        <v>10665</v>
      </c>
      <c r="C2924" s="1" t="s">
        <v>10666</v>
      </c>
      <c r="D2924" s="1" t="s">
        <v>10667</v>
      </c>
      <c r="E2924" s="1" t="s">
        <v>10668</v>
      </c>
      <c r="F2924" s="1"/>
      <c r="G2924" s="1">
        <v>682004</v>
      </c>
      <c r="H2924" s="1">
        <v>1.5</v>
      </c>
    </row>
    <row r="2925" spans="1:8" ht="21.75" customHeight="1">
      <c r="A2925" s="1" t="str">
        <f>"1202390000337408"</f>
        <v>1202390000337408</v>
      </c>
      <c r="B2925" s="1" t="s">
        <v>10669</v>
      </c>
      <c r="C2925" s="1" t="s">
        <v>10670</v>
      </c>
      <c r="D2925" s="1" t="s">
        <v>10671</v>
      </c>
      <c r="E2925" s="1" t="s">
        <v>10672</v>
      </c>
      <c r="F2925" s="1" t="s">
        <v>52</v>
      </c>
      <c r="G2925" s="1">
        <v>682005</v>
      </c>
      <c r="H2925" s="1">
        <v>37.5</v>
      </c>
    </row>
    <row r="2926" spans="1:8" ht="21.75" customHeight="1">
      <c r="A2926" s="1" t="str">
        <f>"IN30181110188875"</f>
        <v>IN30181110188875</v>
      </c>
      <c r="B2926" s="1" t="s">
        <v>10673</v>
      </c>
      <c r="C2926" s="1" t="s">
        <v>10674</v>
      </c>
      <c r="D2926" s="1" t="s">
        <v>10675</v>
      </c>
      <c r="E2926" s="1" t="s">
        <v>10676</v>
      </c>
      <c r="F2926" s="1"/>
      <c r="G2926" s="1">
        <v>682006</v>
      </c>
      <c r="H2926" s="1">
        <v>4.5</v>
      </c>
    </row>
    <row r="2927" spans="1:8" ht="21.75" customHeight="1">
      <c r="A2927" s="1" t="str">
        <f>"IN30189510697543"</f>
        <v>IN30189510697543</v>
      </c>
      <c r="B2927" s="1" t="s">
        <v>10677</v>
      </c>
      <c r="C2927" s="1" t="s">
        <v>10678</v>
      </c>
      <c r="D2927" s="1" t="s">
        <v>10679</v>
      </c>
      <c r="E2927" s="1" t="s">
        <v>10680</v>
      </c>
      <c r="F2927" s="1"/>
      <c r="G2927" s="1">
        <v>682007</v>
      </c>
      <c r="H2927" s="1">
        <v>52.5</v>
      </c>
    </row>
    <row r="2928" spans="1:8" ht="21.75" customHeight="1">
      <c r="A2928" s="1" t="str">
        <f>"IN30023912375140"</f>
        <v>IN30023912375140</v>
      </c>
      <c r="B2928" s="1" t="s">
        <v>10681</v>
      </c>
      <c r="C2928" s="1" t="s">
        <v>10682</v>
      </c>
      <c r="D2928" s="1" t="s">
        <v>10683</v>
      </c>
      <c r="E2928" s="1" t="s">
        <v>52</v>
      </c>
      <c r="F2928" s="1"/>
      <c r="G2928" s="1">
        <v>682017</v>
      </c>
      <c r="H2928" s="1">
        <v>750</v>
      </c>
    </row>
    <row r="2929" spans="1:8" ht="21.75" customHeight="1">
      <c r="A2929" s="1" t="str">
        <f>"1204760000029064"</f>
        <v>1204760000029064</v>
      </c>
      <c r="B2929" s="1" t="s">
        <v>10685</v>
      </c>
      <c r="C2929" s="1" t="s">
        <v>10686</v>
      </c>
      <c r="D2929" s="1" t="s">
        <v>10687</v>
      </c>
      <c r="E2929" s="1" t="s">
        <v>10684</v>
      </c>
      <c r="F2929" s="1" t="s">
        <v>54</v>
      </c>
      <c r="G2929" s="1">
        <v>682017</v>
      </c>
      <c r="H2929" s="1">
        <v>63.75</v>
      </c>
    </row>
    <row r="2930" spans="1:8" ht="21.75" customHeight="1">
      <c r="A2930" s="1" t="str">
        <f>"IN30023911135038"</f>
        <v>IN30023911135038</v>
      </c>
      <c r="B2930" s="1" t="s">
        <v>10688</v>
      </c>
      <c r="C2930" s="1" t="s">
        <v>10689</v>
      </c>
      <c r="D2930" s="1" t="s">
        <v>10690</v>
      </c>
      <c r="E2930" s="1" t="s">
        <v>10691</v>
      </c>
      <c r="F2930" s="1"/>
      <c r="G2930" s="1">
        <v>682017</v>
      </c>
      <c r="H2930" s="1">
        <v>129.75</v>
      </c>
    </row>
    <row r="2931" spans="1:8" ht="21.75" customHeight="1">
      <c r="A2931" s="1" t="str">
        <f>"IN30181110112546"</f>
        <v>IN30181110112546</v>
      </c>
      <c r="B2931" s="1" t="s">
        <v>10692</v>
      </c>
      <c r="C2931" s="1" t="s">
        <v>10693</v>
      </c>
      <c r="D2931" s="1" t="s">
        <v>10694</v>
      </c>
      <c r="E2931" s="1" t="s">
        <v>10695</v>
      </c>
      <c r="F2931" s="1"/>
      <c r="G2931" s="1">
        <v>682018</v>
      </c>
      <c r="H2931" s="1">
        <v>4.5</v>
      </c>
    </row>
    <row r="2932" spans="1:8" ht="21.75" customHeight="1">
      <c r="A2932" s="1" t="str">
        <f>"IN30023911015760"</f>
        <v>IN30023911015760</v>
      </c>
      <c r="B2932" s="1" t="s">
        <v>10696</v>
      </c>
      <c r="C2932" s="1" t="s">
        <v>10697</v>
      </c>
      <c r="D2932" s="1" t="s">
        <v>10698</v>
      </c>
      <c r="E2932" s="1" t="s">
        <v>10699</v>
      </c>
      <c r="F2932" s="1"/>
      <c r="G2932" s="1">
        <v>682019</v>
      </c>
      <c r="H2932" s="1">
        <v>75</v>
      </c>
    </row>
    <row r="2933" spans="1:8" ht="21.75" customHeight="1">
      <c r="A2933" s="1" t="str">
        <f>"IN30023911710146"</f>
        <v>IN30023911710146</v>
      </c>
      <c r="B2933" s="1" t="s">
        <v>10700</v>
      </c>
      <c r="C2933" s="1" t="s">
        <v>10701</v>
      </c>
      <c r="D2933" s="1" t="s">
        <v>10702</v>
      </c>
      <c r="E2933" s="1" t="s">
        <v>10703</v>
      </c>
      <c r="F2933" s="1"/>
      <c r="G2933" s="1">
        <v>682019</v>
      </c>
      <c r="H2933" s="1">
        <v>75</v>
      </c>
    </row>
    <row r="2934" spans="1:8" ht="21.75" customHeight="1">
      <c r="A2934" s="1" t="str">
        <f>"IN30023912780227"</f>
        <v>IN30023912780227</v>
      </c>
      <c r="B2934" s="1" t="s">
        <v>10704</v>
      </c>
      <c r="C2934" s="1" t="s">
        <v>10705</v>
      </c>
      <c r="D2934" s="1" t="s">
        <v>10706</v>
      </c>
      <c r="E2934" s="1" t="s">
        <v>10707</v>
      </c>
      <c r="F2934" s="1"/>
      <c r="G2934" s="1">
        <v>682019</v>
      </c>
      <c r="H2934" s="1">
        <v>147.75</v>
      </c>
    </row>
    <row r="2935" spans="1:8" ht="21.75" customHeight="1">
      <c r="A2935" s="1" t="str">
        <f>"IN30023912911037"</f>
        <v>IN30023912911037</v>
      </c>
      <c r="B2935" s="1" t="s">
        <v>10708</v>
      </c>
      <c r="C2935" s="1" t="s">
        <v>10709</v>
      </c>
      <c r="D2935" s="1" t="s">
        <v>10710</v>
      </c>
      <c r="E2935" s="1" t="s">
        <v>10711</v>
      </c>
      <c r="F2935" s="1"/>
      <c r="G2935" s="1">
        <v>682020</v>
      </c>
      <c r="H2935" s="1">
        <v>375</v>
      </c>
    </row>
    <row r="2936" spans="1:8" ht="21.75" customHeight="1">
      <c r="A2936" s="1" t="str">
        <f>"IN30311610764618"</f>
        <v>IN30311610764618</v>
      </c>
      <c r="B2936" s="1" t="s">
        <v>10712</v>
      </c>
      <c r="C2936" s="1" t="s">
        <v>10713</v>
      </c>
      <c r="D2936" s="1" t="s">
        <v>10714</v>
      </c>
      <c r="E2936" s="1" t="s">
        <v>10715</v>
      </c>
      <c r="F2936" s="1"/>
      <c r="G2936" s="1">
        <v>682021</v>
      </c>
      <c r="H2936" s="1">
        <v>12</v>
      </c>
    </row>
    <row r="2937" spans="1:8" ht="21.75" customHeight="1">
      <c r="A2937" s="1" t="str">
        <f>"1202390000090434"</f>
        <v>1202390000090434</v>
      </c>
      <c r="B2937" s="1" t="s">
        <v>10716</v>
      </c>
      <c r="C2937" s="1" t="s">
        <v>10717</v>
      </c>
      <c r="D2937" s="1" t="s">
        <v>10718</v>
      </c>
      <c r="E2937" s="1"/>
      <c r="F2937" s="1" t="s">
        <v>52</v>
      </c>
      <c r="G2937" s="1">
        <v>682023</v>
      </c>
      <c r="H2937" s="1">
        <v>150</v>
      </c>
    </row>
    <row r="2938" spans="1:8" ht="21.75" customHeight="1">
      <c r="A2938" s="1" t="str">
        <f>"IN30039415608167"</f>
        <v>IN30039415608167</v>
      </c>
      <c r="B2938" s="1" t="s">
        <v>10719</v>
      </c>
      <c r="C2938" s="1" t="s">
        <v>10720</v>
      </c>
      <c r="D2938" s="1" t="s">
        <v>10721</v>
      </c>
      <c r="E2938" s="1" t="s">
        <v>10722</v>
      </c>
      <c r="F2938" s="1"/>
      <c r="G2938" s="1">
        <v>682023</v>
      </c>
      <c r="H2938" s="1">
        <v>97.5</v>
      </c>
    </row>
    <row r="2939" spans="1:8" ht="21.75" customHeight="1">
      <c r="A2939" s="1" t="str">
        <f>"1202390000288870"</f>
        <v>1202390000288870</v>
      </c>
      <c r="B2939" s="1" t="s">
        <v>10723</v>
      </c>
      <c r="C2939" s="1" t="s">
        <v>10724</v>
      </c>
      <c r="D2939" s="1" t="s">
        <v>10725</v>
      </c>
      <c r="E2939" s="1" t="s">
        <v>10726</v>
      </c>
      <c r="F2939" s="1" t="s">
        <v>48</v>
      </c>
      <c r="G2939" s="1">
        <v>682023</v>
      </c>
      <c r="H2939" s="1">
        <v>75</v>
      </c>
    </row>
    <row r="2940" spans="1:8" ht="21.75" customHeight="1">
      <c r="A2940" s="1" t="str">
        <f>"IN30023911723199"</f>
        <v>IN30023911723199</v>
      </c>
      <c r="B2940" s="1" t="s">
        <v>10727</v>
      </c>
      <c r="C2940" s="1" t="s">
        <v>10728</v>
      </c>
      <c r="D2940" s="1" t="s">
        <v>10729</v>
      </c>
      <c r="E2940" s="1" t="s">
        <v>10730</v>
      </c>
      <c r="F2940" s="1"/>
      <c r="G2940" s="1">
        <v>682024</v>
      </c>
      <c r="H2940" s="1">
        <v>35.25</v>
      </c>
    </row>
    <row r="2941" spans="1:8" ht="21.75" customHeight="1">
      <c r="A2941" s="1" t="str">
        <f>"IN30023911953128"</f>
        <v>IN30023911953128</v>
      </c>
      <c r="B2941" s="1" t="s">
        <v>10731</v>
      </c>
      <c r="C2941" s="1" t="s">
        <v>10732</v>
      </c>
      <c r="D2941" s="1" t="s">
        <v>10733</v>
      </c>
      <c r="E2941" s="1" t="s">
        <v>10734</v>
      </c>
      <c r="F2941" s="1"/>
      <c r="G2941" s="1">
        <v>682024</v>
      </c>
      <c r="H2941" s="1">
        <v>0.75</v>
      </c>
    </row>
    <row r="2942" spans="1:8" ht="21.75" customHeight="1">
      <c r="A2942" s="1" t="str">
        <f>"IN30023912326294"</f>
        <v>IN30023912326294</v>
      </c>
      <c r="B2942" s="1" t="s">
        <v>10735</v>
      </c>
      <c r="C2942" s="1" t="s">
        <v>10736</v>
      </c>
      <c r="D2942" s="1" t="s">
        <v>10737</v>
      </c>
      <c r="E2942" s="1" t="s">
        <v>10738</v>
      </c>
      <c r="F2942" s="1"/>
      <c r="G2942" s="1">
        <v>682024</v>
      </c>
      <c r="H2942" s="1">
        <v>150</v>
      </c>
    </row>
    <row r="2943" spans="1:8" ht="21.75" customHeight="1">
      <c r="A2943" s="1" t="str">
        <f>"IN30133018606886"</f>
        <v>IN30133018606886</v>
      </c>
      <c r="B2943" s="1" t="s">
        <v>10739</v>
      </c>
      <c r="C2943" s="1" t="s">
        <v>10740</v>
      </c>
      <c r="D2943" s="1" t="s">
        <v>10741</v>
      </c>
      <c r="E2943" s="1" t="s">
        <v>10742</v>
      </c>
      <c r="F2943" s="1"/>
      <c r="G2943" s="1">
        <v>682024</v>
      </c>
      <c r="H2943" s="1">
        <v>1.5</v>
      </c>
    </row>
    <row r="2944" spans="1:8" ht="21.75" customHeight="1">
      <c r="A2944" s="1" t="str">
        <f>"1204760000140144"</f>
        <v>1204760000140144</v>
      </c>
      <c r="B2944" s="1" t="s">
        <v>10743</v>
      </c>
      <c r="C2944" s="1" t="s">
        <v>10744</v>
      </c>
      <c r="D2944" s="1" t="s">
        <v>10745</v>
      </c>
      <c r="E2944" s="1" t="s">
        <v>10746</v>
      </c>
      <c r="F2944" s="1" t="s">
        <v>54</v>
      </c>
      <c r="G2944" s="1">
        <v>682025</v>
      </c>
      <c r="H2944" s="1">
        <v>15</v>
      </c>
    </row>
    <row r="2945" spans="1:8" ht="21.75" customHeight="1">
      <c r="A2945" s="1" t="str">
        <f>"1203320005356261"</f>
        <v>1203320005356261</v>
      </c>
      <c r="B2945" s="1" t="s">
        <v>10747</v>
      </c>
      <c r="C2945" s="1" t="s">
        <v>10748</v>
      </c>
      <c r="D2945" s="1" t="s">
        <v>10749</v>
      </c>
      <c r="E2945" s="1" t="s">
        <v>10750</v>
      </c>
      <c r="F2945" s="1" t="s">
        <v>54</v>
      </c>
      <c r="G2945" s="1">
        <v>682025</v>
      </c>
      <c r="H2945" s="1">
        <v>12.75</v>
      </c>
    </row>
    <row r="2946" spans="1:8" ht="21.75" customHeight="1">
      <c r="A2946" s="1" t="str">
        <f>"IN30177411234282"</f>
        <v>IN30177411234282</v>
      </c>
      <c r="B2946" s="1" t="s">
        <v>10751</v>
      </c>
      <c r="C2946" s="1" t="s">
        <v>10752</v>
      </c>
      <c r="D2946" s="1" t="s">
        <v>10753</v>
      </c>
      <c r="E2946" s="1" t="s">
        <v>52</v>
      </c>
      <c r="F2946" s="1"/>
      <c r="G2946" s="1">
        <v>682032</v>
      </c>
      <c r="H2946" s="1">
        <v>150</v>
      </c>
    </row>
    <row r="2947" spans="1:8" ht="21.75" customHeight="1">
      <c r="A2947" s="1" t="str">
        <f>"IN30023913046346"</f>
        <v>IN30023913046346</v>
      </c>
      <c r="B2947" s="1" t="s">
        <v>10754</v>
      </c>
      <c r="C2947" s="1" t="s">
        <v>10755</v>
      </c>
      <c r="D2947" s="1" t="s">
        <v>10756</v>
      </c>
      <c r="E2947" s="1" t="s">
        <v>10757</v>
      </c>
      <c r="F2947" s="1"/>
      <c r="G2947" s="1">
        <v>682032</v>
      </c>
      <c r="H2947" s="1">
        <v>105</v>
      </c>
    </row>
    <row r="2948" spans="1:8" ht="21.75" customHeight="1">
      <c r="A2948" s="1" t="str">
        <f>"1202990000099736"</f>
        <v>1202990000099736</v>
      </c>
      <c r="B2948" s="1" t="s">
        <v>10758</v>
      </c>
      <c r="C2948" s="1" t="s">
        <v>10759</v>
      </c>
      <c r="D2948" s="1" t="s">
        <v>10760</v>
      </c>
      <c r="E2948" s="1" t="s">
        <v>10761</v>
      </c>
      <c r="F2948" s="1" t="s">
        <v>10762</v>
      </c>
      <c r="G2948" s="1">
        <v>682301</v>
      </c>
      <c r="H2948" s="1">
        <v>94.5</v>
      </c>
    </row>
    <row r="2949" spans="1:8" ht="21.75" customHeight="1">
      <c r="A2949" s="1" t="str">
        <f>"1201090000960056"</f>
        <v>1201090000960056</v>
      </c>
      <c r="B2949" s="1" t="s">
        <v>10763</v>
      </c>
      <c r="C2949" s="1" t="s">
        <v>10764</v>
      </c>
      <c r="D2949" s="1" t="s">
        <v>10765</v>
      </c>
      <c r="E2949" s="1" t="s">
        <v>10766</v>
      </c>
      <c r="F2949" s="1" t="s">
        <v>48</v>
      </c>
      <c r="G2949" s="1">
        <v>682301</v>
      </c>
      <c r="H2949" s="1">
        <v>187.5</v>
      </c>
    </row>
    <row r="2950" spans="1:8" ht="21.75" customHeight="1">
      <c r="A2950" s="1" t="str">
        <f>"IN30051316794034"</f>
        <v>IN30051316794034</v>
      </c>
      <c r="B2950" s="1" t="s">
        <v>10767</v>
      </c>
      <c r="C2950" s="1" t="s">
        <v>10768</v>
      </c>
      <c r="D2950" s="1" t="s">
        <v>10769</v>
      </c>
      <c r="E2950" s="1" t="s">
        <v>10738</v>
      </c>
      <c r="F2950" s="1"/>
      <c r="G2950" s="1">
        <v>682306</v>
      </c>
      <c r="H2950" s="1">
        <v>225.75</v>
      </c>
    </row>
    <row r="2951" spans="1:8" ht="21.75" customHeight="1">
      <c r="A2951" s="1" t="str">
        <f>"1203320005554500"</f>
        <v>1203320005554500</v>
      </c>
      <c r="B2951" s="1" t="s">
        <v>10770</v>
      </c>
      <c r="C2951" s="1" t="s">
        <v>10771</v>
      </c>
      <c r="D2951" s="1" t="s">
        <v>10772</v>
      </c>
      <c r="E2951" s="1" t="s">
        <v>595</v>
      </c>
      <c r="F2951" s="1" t="s">
        <v>54</v>
      </c>
      <c r="G2951" s="1">
        <v>682307</v>
      </c>
      <c r="H2951" s="1">
        <v>105.75</v>
      </c>
    </row>
    <row r="2952" spans="1:8" ht="21.75" customHeight="1">
      <c r="A2952" s="1" t="str">
        <f>"IN30023911866598"</f>
        <v>IN30023911866598</v>
      </c>
      <c r="B2952" s="1" t="s">
        <v>10773</v>
      </c>
      <c r="C2952" s="1" t="s">
        <v>10774</v>
      </c>
      <c r="D2952" s="1" t="s">
        <v>10756</v>
      </c>
      <c r="E2952" s="1" t="s">
        <v>10775</v>
      </c>
      <c r="F2952" s="1"/>
      <c r="G2952" s="1">
        <v>682308</v>
      </c>
      <c r="H2952" s="1">
        <v>150</v>
      </c>
    </row>
    <row r="2953" spans="1:8" ht="21.75" customHeight="1">
      <c r="A2953" s="1" t="str">
        <f>"003497"</f>
        <v>003497</v>
      </c>
      <c r="B2953" s="1" t="s">
        <v>10776</v>
      </c>
      <c r="C2953" s="1" t="s">
        <v>10777</v>
      </c>
      <c r="D2953" s="1" t="s">
        <v>10778</v>
      </c>
      <c r="E2953" s="1" t="s">
        <v>10779</v>
      </c>
      <c r="F2953" s="1" t="s">
        <v>54</v>
      </c>
      <c r="G2953" s="1">
        <v>682309</v>
      </c>
      <c r="H2953" s="1">
        <v>1500</v>
      </c>
    </row>
    <row r="2954" spans="1:8" ht="21.75" customHeight="1">
      <c r="A2954" s="1" t="str">
        <f>"IN30023910301831"</f>
        <v>IN30023910301831</v>
      </c>
      <c r="B2954" s="1" t="s">
        <v>10780</v>
      </c>
      <c r="C2954" s="1" t="s">
        <v>10781</v>
      </c>
      <c r="D2954" s="1" t="s">
        <v>10782</v>
      </c>
      <c r="E2954" s="1" t="s">
        <v>10738</v>
      </c>
      <c r="F2954" s="1"/>
      <c r="G2954" s="1">
        <v>682315</v>
      </c>
      <c r="H2954" s="1">
        <v>0.75</v>
      </c>
    </row>
    <row r="2955" spans="1:8" ht="21.75" customHeight="1">
      <c r="A2955" s="1" t="str">
        <f>"IN30226911914794"</f>
        <v>IN30226911914794</v>
      </c>
      <c r="B2955" s="1" t="s">
        <v>10783</v>
      </c>
      <c r="C2955" s="1" t="s">
        <v>10784</v>
      </c>
      <c r="D2955" s="1" t="s">
        <v>10785</v>
      </c>
      <c r="E2955" s="1" t="s">
        <v>10786</v>
      </c>
      <c r="F2955" s="1"/>
      <c r="G2955" s="1">
        <v>682505</v>
      </c>
      <c r="H2955" s="1">
        <v>150</v>
      </c>
    </row>
    <row r="2956" spans="1:8" ht="21.75" customHeight="1">
      <c r="A2956" s="1" t="str">
        <f>"IN30169610621295"</f>
        <v>IN30169610621295</v>
      </c>
      <c r="B2956" s="1" t="s">
        <v>10787</v>
      </c>
      <c r="C2956" s="1" t="s">
        <v>10788</v>
      </c>
      <c r="D2956" s="1" t="s">
        <v>10789</v>
      </c>
      <c r="E2956" s="1" t="s">
        <v>10790</v>
      </c>
      <c r="F2956" s="1"/>
      <c r="G2956" s="1">
        <v>683001</v>
      </c>
      <c r="H2956" s="1">
        <v>1.5</v>
      </c>
    </row>
    <row r="2957" spans="1:8" ht="21.75" customHeight="1">
      <c r="A2957" s="1" t="str">
        <f>"1201910100359100"</f>
        <v>1201910100359100</v>
      </c>
      <c r="B2957" s="1" t="s">
        <v>5377</v>
      </c>
      <c r="C2957" s="1" t="s">
        <v>10791</v>
      </c>
      <c r="D2957" s="1" t="s">
        <v>1030</v>
      </c>
      <c r="E2957" s="1"/>
      <c r="F2957" s="1" t="s">
        <v>1030</v>
      </c>
      <c r="G2957" s="1">
        <v>683101</v>
      </c>
      <c r="H2957" s="1">
        <v>7.5</v>
      </c>
    </row>
    <row r="2958" spans="1:8" ht="21.75" customHeight="1">
      <c r="A2958" s="1" t="str">
        <f>"IN30189510685530"</f>
        <v>IN30189510685530</v>
      </c>
      <c r="B2958" s="1" t="s">
        <v>10793</v>
      </c>
      <c r="C2958" s="1" t="s">
        <v>10794</v>
      </c>
      <c r="D2958" s="1" t="s">
        <v>10795</v>
      </c>
      <c r="E2958" s="1" t="s">
        <v>10796</v>
      </c>
      <c r="F2958" s="1"/>
      <c r="G2958" s="1">
        <v>683105</v>
      </c>
      <c r="H2958" s="1">
        <v>0.75</v>
      </c>
    </row>
    <row r="2959" spans="1:8" ht="21.75" customHeight="1">
      <c r="A2959" s="1" t="str">
        <f>"1204470002798260"</f>
        <v>1204470002798260</v>
      </c>
      <c r="B2959" s="1" t="s">
        <v>10797</v>
      </c>
      <c r="C2959" s="1" t="s">
        <v>10798</v>
      </c>
      <c r="D2959" s="1" t="s">
        <v>10799</v>
      </c>
      <c r="E2959" s="1" t="s">
        <v>10800</v>
      </c>
      <c r="F2959" s="1" t="s">
        <v>48</v>
      </c>
      <c r="G2959" s="1">
        <v>683106</v>
      </c>
      <c r="H2959" s="1">
        <v>150</v>
      </c>
    </row>
    <row r="2960" spans="1:8" ht="21.75" customHeight="1">
      <c r="A2960" s="1" t="str">
        <f>"1205670000144011"</f>
        <v>1205670000144011</v>
      </c>
      <c r="B2960" s="1" t="s">
        <v>10801</v>
      </c>
      <c r="C2960" s="1" t="s">
        <v>10802</v>
      </c>
      <c r="D2960" s="1" t="s">
        <v>10803</v>
      </c>
      <c r="E2960" s="1"/>
      <c r="F2960" s="1" t="s">
        <v>10792</v>
      </c>
      <c r="G2960" s="1">
        <v>683108</v>
      </c>
      <c r="H2960" s="1">
        <v>90</v>
      </c>
    </row>
    <row r="2961" spans="1:8" ht="21.75" customHeight="1">
      <c r="A2961" s="1" t="str">
        <f>"IN30023911244788"</f>
        <v>IN30023911244788</v>
      </c>
      <c r="B2961" s="1" t="s">
        <v>10804</v>
      </c>
      <c r="C2961" s="1" t="s">
        <v>10805</v>
      </c>
      <c r="D2961" s="1" t="s">
        <v>10806</v>
      </c>
      <c r="E2961" s="1" t="s">
        <v>10738</v>
      </c>
      <c r="F2961" s="1"/>
      <c r="G2961" s="1">
        <v>683501</v>
      </c>
      <c r="H2961" s="1">
        <v>37.5</v>
      </c>
    </row>
    <row r="2962" spans="1:8" ht="21.75" customHeight="1">
      <c r="A2962" s="1" t="str">
        <f>"IN30023912129610"</f>
        <v>IN30023912129610</v>
      </c>
      <c r="B2962" s="1" t="s">
        <v>10807</v>
      </c>
      <c r="C2962" s="1" t="s">
        <v>10808</v>
      </c>
      <c r="D2962" s="1" t="s">
        <v>10809</v>
      </c>
      <c r="E2962" s="1" t="s">
        <v>1030</v>
      </c>
      <c r="F2962" s="1"/>
      <c r="G2962" s="1">
        <v>683510</v>
      </c>
      <c r="H2962" s="1">
        <v>150</v>
      </c>
    </row>
    <row r="2963" spans="1:8" ht="21.75" customHeight="1">
      <c r="A2963" s="1" t="str">
        <f>"IN30089610302072"</f>
        <v>IN30089610302072</v>
      </c>
      <c r="B2963" s="1" t="s">
        <v>10810</v>
      </c>
      <c r="C2963" s="1" t="s">
        <v>10811</v>
      </c>
      <c r="D2963" s="1" t="s">
        <v>10812</v>
      </c>
      <c r="E2963" s="1" t="s">
        <v>10813</v>
      </c>
      <c r="F2963" s="1"/>
      <c r="G2963" s="1">
        <v>683512</v>
      </c>
      <c r="H2963" s="1">
        <v>1.5</v>
      </c>
    </row>
    <row r="2964" spans="1:8" ht="21.75" customHeight="1">
      <c r="A2964" s="1" t="str">
        <f>"IN30181110088679"</f>
        <v>IN30181110088679</v>
      </c>
      <c r="B2964" s="1" t="s">
        <v>10814</v>
      </c>
      <c r="C2964" s="1" t="s">
        <v>10815</v>
      </c>
      <c r="D2964" s="1" t="s">
        <v>10816</v>
      </c>
      <c r="E2964" s="1" t="s">
        <v>5389</v>
      </c>
      <c r="F2964" s="1"/>
      <c r="G2964" s="1">
        <v>683513</v>
      </c>
      <c r="H2964" s="1">
        <v>1312</v>
      </c>
    </row>
    <row r="2965" spans="1:8" ht="21.75" customHeight="1">
      <c r="A2965" s="1" t="str">
        <f>"IN30181110126094"</f>
        <v>IN30181110126094</v>
      </c>
      <c r="B2965" s="1" t="s">
        <v>10817</v>
      </c>
      <c r="C2965" s="1" t="s">
        <v>10818</v>
      </c>
      <c r="D2965" s="1"/>
      <c r="E2965" s="1" t="s">
        <v>5389</v>
      </c>
      <c r="F2965" s="1"/>
      <c r="G2965" s="1">
        <v>683513</v>
      </c>
      <c r="H2965" s="1">
        <v>150</v>
      </c>
    </row>
    <row r="2966" spans="1:8" ht="21.75" customHeight="1">
      <c r="A2966" s="1" t="str">
        <f>"IN30023913123747"</f>
        <v>IN30023913123747</v>
      </c>
      <c r="B2966" s="1" t="s">
        <v>10819</v>
      </c>
      <c r="C2966" s="1" t="s">
        <v>10820</v>
      </c>
      <c r="D2966" s="1" t="s">
        <v>10821</v>
      </c>
      <c r="E2966" s="1" t="s">
        <v>10822</v>
      </c>
      <c r="F2966" s="1"/>
      <c r="G2966" s="1">
        <v>683513</v>
      </c>
      <c r="H2966" s="1">
        <v>3.75</v>
      </c>
    </row>
    <row r="2967" spans="1:8" ht="21.75" customHeight="1">
      <c r="A2967" s="1" t="str">
        <f>"IN30023913123755"</f>
        <v>IN30023913123755</v>
      </c>
      <c r="B2967" s="1" t="s">
        <v>10823</v>
      </c>
      <c r="C2967" s="1" t="s">
        <v>10820</v>
      </c>
      <c r="D2967" s="1" t="s">
        <v>10821</v>
      </c>
      <c r="E2967" s="1" t="s">
        <v>10822</v>
      </c>
      <c r="F2967" s="1"/>
      <c r="G2967" s="1">
        <v>683513</v>
      </c>
      <c r="H2967" s="1">
        <v>3.75</v>
      </c>
    </row>
    <row r="2968" spans="1:8" ht="21.75" customHeight="1">
      <c r="A2968" s="1" t="str">
        <f>"1203990000053563"</f>
        <v>1203990000053563</v>
      </c>
      <c r="B2968" s="1" t="s">
        <v>10824</v>
      </c>
      <c r="C2968" s="1" t="s">
        <v>10825</v>
      </c>
      <c r="D2968" s="1" t="s">
        <v>5397</v>
      </c>
      <c r="E2968" s="1" t="s">
        <v>10826</v>
      </c>
      <c r="F2968" s="1" t="s">
        <v>54</v>
      </c>
      <c r="G2968" s="1">
        <v>683516</v>
      </c>
      <c r="H2968" s="1">
        <v>30</v>
      </c>
    </row>
    <row r="2969" spans="1:8" ht="21.75" customHeight="1">
      <c r="A2969" s="1" t="str">
        <f>"IN30017510643998"</f>
        <v>IN30017510643998</v>
      </c>
      <c r="B2969" s="1" t="s">
        <v>10827</v>
      </c>
      <c r="C2969" s="1" t="s">
        <v>10828</v>
      </c>
      <c r="D2969" s="1" t="s">
        <v>10829</v>
      </c>
      <c r="E2969" s="1" t="s">
        <v>10830</v>
      </c>
      <c r="F2969" s="1"/>
      <c r="G2969" s="1">
        <v>683516</v>
      </c>
      <c r="H2969" s="1">
        <v>125.25</v>
      </c>
    </row>
    <row r="2970" spans="1:8" ht="21.75" customHeight="1">
      <c r="A2970" s="1" t="str">
        <f>"IN30181110127066"</f>
        <v>IN30181110127066</v>
      </c>
      <c r="B2970" s="1" t="s">
        <v>10831</v>
      </c>
      <c r="C2970" s="1" t="s">
        <v>10832</v>
      </c>
      <c r="D2970" s="1" t="s">
        <v>10833</v>
      </c>
      <c r="E2970" s="1" t="s">
        <v>5398</v>
      </c>
      <c r="F2970" s="1"/>
      <c r="G2970" s="1">
        <v>683517</v>
      </c>
      <c r="H2970" s="1">
        <v>33.75</v>
      </c>
    </row>
    <row r="2971" spans="1:8" ht="21.75" customHeight="1">
      <c r="A2971" s="1" t="str">
        <f>"IN30181110160074"</f>
        <v>IN30181110160074</v>
      </c>
      <c r="B2971" s="1" t="s">
        <v>10834</v>
      </c>
      <c r="C2971" s="1" t="s">
        <v>10398</v>
      </c>
      <c r="D2971" s="1" t="s">
        <v>10835</v>
      </c>
      <c r="E2971" s="1" t="s">
        <v>10836</v>
      </c>
      <c r="F2971" s="1"/>
      <c r="G2971" s="1">
        <v>683517</v>
      </c>
      <c r="H2971" s="1">
        <v>45</v>
      </c>
    </row>
    <row r="2972" spans="1:8" ht="21.75" customHeight="1">
      <c r="A2972" s="1" t="str">
        <f>"IN30023912975372"</f>
        <v>IN30023912975372</v>
      </c>
      <c r="B2972" s="1" t="s">
        <v>10837</v>
      </c>
      <c r="C2972" s="1" t="s">
        <v>10182</v>
      </c>
      <c r="D2972" s="1" t="s">
        <v>10838</v>
      </c>
      <c r="E2972" s="1" t="s">
        <v>10738</v>
      </c>
      <c r="F2972" s="1"/>
      <c r="G2972" s="1">
        <v>683518</v>
      </c>
      <c r="H2972" s="1">
        <v>102.75</v>
      </c>
    </row>
    <row r="2973" spans="1:8" ht="21.75" customHeight="1">
      <c r="A2973" s="1" t="str">
        <f>"IN30181110088316"</f>
        <v>IN30181110088316</v>
      </c>
      <c r="B2973" s="1" t="s">
        <v>10839</v>
      </c>
      <c r="C2973" s="1" t="s">
        <v>10840</v>
      </c>
      <c r="D2973" s="1" t="s">
        <v>10841</v>
      </c>
      <c r="E2973" s="1" t="s">
        <v>10842</v>
      </c>
      <c r="F2973" s="1"/>
      <c r="G2973" s="1">
        <v>683520</v>
      </c>
      <c r="H2973" s="1">
        <v>112.5</v>
      </c>
    </row>
    <row r="2974" spans="1:8" ht="21.75" customHeight="1">
      <c r="A2974" s="1" t="str">
        <f>"IN30181110086603"</f>
        <v>IN30181110086603</v>
      </c>
      <c r="B2974" s="1" t="s">
        <v>10843</v>
      </c>
      <c r="C2974" s="1" t="s">
        <v>10844</v>
      </c>
      <c r="D2974" s="1" t="s">
        <v>10845</v>
      </c>
      <c r="E2974" s="1" t="s">
        <v>10846</v>
      </c>
      <c r="F2974" s="1"/>
      <c r="G2974" s="1">
        <v>683523</v>
      </c>
      <c r="H2974" s="1">
        <v>0.75</v>
      </c>
    </row>
    <row r="2975" spans="1:8" ht="21.75" customHeight="1">
      <c r="A2975" s="1" t="str">
        <f>"1204470001233126"</f>
        <v>1204470001233126</v>
      </c>
      <c r="B2975" s="1" t="s">
        <v>10847</v>
      </c>
      <c r="C2975" s="1" t="s">
        <v>10848</v>
      </c>
      <c r="D2975" s="1" t="s">
        <v>1029</v>
      </c>
      <c r="E2975" s="1" t="s">
        <v>10849</v>
      </c>
      <c r="F2975" s="1" t="s">
        <v>54</v>
      </c>
      <c r="G2975" s="1">
        <v>683524</v>
      </c>
      <c r="H2975" s="1">
        <v>75</v>
      </c>
    </row>
    <row r="2976" spans="1:8" ht="21.75" customHeight="1">
      <c r="A2976" s="1" t="str">
        <f>"1202980000240800"</f>
        <v>1202980000240800</v>
      </c>
      <c r="B2976" s="1" t="s">
        <v>10850</v>
      </c>
      <c r="C2976" s="1" t="s">
        <v>10851</v>
      </c>
      <c r="D2976" s="1"/>
      <c r="E2976" s="1"/>
      <c r="F2976" s="1" t="s">
        <v>10852</v>
      </c>
      <c r="G2976" s="1">
        <v>683525</v>
      </c>
      <c r="H2976" s="1">
        <v>15</v>
      </c>
    </row>
    <row r="2977" spans="1:8" ht="21.75" customHeight="1">
      <c r="A2977" s="1" t="str">
        <f>"IN30023913492220"</f>
        <v>IN30023913492220</v>
      </c>
      <c r="B2977" s="1" t="s">
        <v>10853</v>
      </c>
      <c r="C2977" s="1" t="s">
        <v>10854</v>
      </c>
      <c r="D2977" s="1" t="s">
        <v>5402</v>
      </c>
      <c r="E2977" s="1" t="s">
        <v>10757</v>
      </c>
      <c r="F2977" s="1"/>
      <c r="G2977" s="1">
        <v>683542</v>
      </c>
      <c r="H2977" s="1">
        <v>7.5</v>
      </c>
    </row>
    <row r="2978" spans="1:8" ht="21.75" customHeight="1">
      <c r="A2978" s="1" t="str">
        <f>"1201090012599848"</f>
        <v>1201090012599848</v>
      </c>
      <c r="B2978" s="1" t="s">
        <v>10855</v>
      </c>
      <c r="C2978" s="1" t="s">
        <v>10856</v>
      </c>
      <c r="D2978" s="1" t="s">
        <v>10857</v>
      </c>
      <c r="E2978" s="1" t="s">
        <v>10858</v>
      </c>
      <c r="F2978" s="1" t="s">
        <v>54</v>
      </c>
      <c r="G2978" s="1">
        <v>683544</v>
      </c>
      <c r="H2978" s="1">
        <v>45.75</v>
      </c>
    </row>
    <row r="2979" spans="1:8" ht="21.75" customHeight="1">
      <c r="A2979" s="1" t="str">
        <f>"1204720011500839"</f>
        <v>1204720011500839</v>
      </c>
      <c r="B2979" s="1" t="s">
        <v>10859</v>
      </c>
      <c r="C2979" s="1" t="s">
        <v>10860</v>
      </c>
      <c r="D2979" s="1" t="s">
        <v>10861</v>
      </c>
      <c r="E2979" s="1" t="s">
        <v>10862</v>
      </c>
      <c r="F2979" s="1" t="s">
        <v>5402</v>
      </c>
      <c r="G2979" s="1">
        <v>683544</v>
      </c>
      <c r="H2979" s="1">
        <v>6.75</v>
      </c>
    </row>
    <row r="2980" spans="1:8" ht="21.75" customHeight="1">
      <c r="A2980" s="1" t="str">
        <f>"1204980000100919"</f>
        <v>1204980000100919</v>
      </c>
      <c r="B2980" s="1" t="s">
        <v>10863</v>
      </c>
      <c r="C2980" s="1" t="s">
        <v>10864</v>
      </c>
      <c r="D2980" s="1" t="s">
        <v>10865</v>
      </c>
      <c r="E2980" s="1"/>
      <c r="F2980" s="1" t="s">
        <v>5402</v>
      </c>
      <c r="G2980" s="1">
        <v>683546</v>
      </c>
      <c r="H2980" s="1">
        <v>75</v>
      </c>
    </row>
    <row r="2981" spans="1:8" ht="21.75" customHeight="1">
      <c r="A2981" s="1" t="str">
        <f>"IN30023912873777"</f>
        <v>IN30023912873777</v>
      </c>
      <c r="B2981" s="1" t="s">
        <v>10866</v>
      </c>
      <c r="C2981" s="1" t="s">
        <v>10867</v>
      </c>
      <c r="D2981" s="1" t="s">
        <v>10868</v>
      </c>
      <c r="E2981" s="1" t="s">
        <v>10869</v>
      </c>
      <c r="F2981" s="1"/>
      <c r="G2981" s="1">
        <v>683550</v>
      </c>
      <c r="H2981" s="1">
        <v>37.5</v>
      </c>
    </row>
    <row r="2982" spans="1:8" ht="21.75" customHeight="1">
      <c r="A2982" s="1" t="str">
        <f>"1204980000097261"</f>
        <v>1204980000097261</v>
      </c>
      <c r="B2982" s="1" t="s">
        <v>10871</v>
      </c>
      <c r="C2982" s="1" t="s">
        <v>10872</v>
      </c>
      <c r="D2982" s="1">
        <v>8</v>
      </c>
      <c r="E2982" s="1"/>
      <c r="F2982" s="1" t="s">
        <v>10873</v>
      </c>
      <c r="G2982" s="1">
        <v>683553</v>
      </c>
      <c r="H2982" s="1">
        <v>300</v>
      </c>
    </row>
    <row r="2983" spans="1:8" ht="21.75" customHeight="1">
      <c r="A2983" s="1" t="str">
        <f>"1202390000281419"</f>
        <v>1202390000281419</v>
      </c>
      <c r="B2983" s="1" t="s">
        <v>10874</v>
      </c>
      <c r="C2983" s="1" t="s">
        <v>10875</v>
      </c>
      <c r="D2983" s="1" t="s">
        <v>10876</v>
      </c>
      <c r="E2983" s="1" t="s">
        <v>54</v>
      </c>
      <c r="F2983" s="1" t="s">
        <v>54</v>
      </c>
      <c r="G2983" s="1">
        <v>683561</v>
      </c>
      <c r="H2983" s="1">
        <v>337.5</v>
      </c>
    </row>
    <row r="2984" spans="1:8" ht="21.75" customHeight="1">
      <c r="A2984" s="1" t="str">
        <f>"1201090012852073"</f>
        <v>1201090012852073</v>
      </c>
      <c r="B2984" s="1" t="s">
        <v>10877</v>
      </c>
      <c r="C2984" s="1" t="s">
        <v>10174</v>
      </c>
      <c r="D2984" s="1" t="s">
        <v>10878</v>
      </c>
      <c r="E2984" s="1" t="s">
        <v>10879</v>
      </c>
      <c r="F2984" s="1" t="s">
        <v>54</v>
      </c>
      <c r="G2984" s="1">
        <v>683571</v>
      </c>
      <c r="H2984" s="1">
        <v>33.75</v>
      </c>
    </row>
    <row r="2985" spans="1:8" ht="21.75" customHeight="1">
      <c r="A2985" s="1" t="str">
        <f>"1202980000235353"</f>
        <v>1202980000235353</v>
      </c>
      <c r="B2985" s="1" t="s">
        <v>10880</v>
      </c>
      <c r="C2985" s="1" t="s">
        <v>10881</v>
      </c>
      <c r="D2985" s="1" t="s">
        <v>10882</v>
      </c>
      <c r="E2985" s="1"/>
      <c r="F2985" s="1" t="s">
        <v>10639</v>
      </c>
      <c r="G2985" s="1">
        <v>683572</v>
      </c>
      <c r="H2985" s="1">
        <v>330</v>
      </c>
    </row>
    <row r="2986" spans="1:8" ht="21.75" customHeight="1">
      <c r="A2986" s="1" t="str">
        <f>"IN30226913769509"</f>
        <v>IN30226913769509</v>
      </c>
      <c r="B2986" s="1" t="s">
        <v>10883</v>
      </c>
      <c r="C2986" s="1" t="s">
        <v>10884</v>
      </c>
      <c r="D2986" s="1" t="s">
        <v>10885</v>
      </c>
      <c r="E2986" s="1" t="s">
        <v>10886</v>
      </c>
      <c r="F2986" s="1"/>
      <c r="G2986" s="1">
        <v>683572</v>
      </c>
      <c r="H2986" s="1">
        <v>75</v>
      </c>
    </row>
    <row r="2987" spans="1:8" ht="21.75" customHeight="1">
      <c r="A2987" s="1" t="str">
        <f>"1205670000167485"</f>
        <v>1205670000167485</v>
      </c>
      <c r="B2987" s="1" t="s">
        <v>10887</v>
      </c>
      <c r="C2987" s="1" t="s">
        <v>10602</v>
      </c>
      <c r="D2987" s="1" t="s">
        <v>10888</v>
      </c>
      <c r="E2987" s="1"/>
      <c r="F2987" s="1" t="s">
        <v>54</v>
      </c>
      <c r="G2987" s="1">
        <v>683572</v>
      </c>
      <c r="H2987" s="1">
        <v>30</v>
      </c>
    </row>
    <row r="2988" spans="1:8" ht="21.75" customHeight="1">
      <c r="A2988" s="1" t="str">
        <f>"1205670000046951"</f>
        <v>1205670000046951</v>
      </c>
      <c r="B2988" s="1" t="s">
        <v>10889</v>
      </c>
      <c r="C2988" s="1" t="s">
        <v>10890</v>
      </c>
      <c r="D2988" s="1" t="s">
        <v>10891</v>
      </c>
      <c r="E2988" s="1" t="s">
        <v>10870</v>
      </c>
      <c r="F2988" s="1" t="s">
        <v>10870</v>
      </c>
      <c r="G2988" s="1">
        <v>683574</v>
      </c>
      <c r="H2988" s="1">
        <v>120</v>
      </c>
    </row>
    <row r="2989" spans="1:8" ht="21.75" customHeight="1">
      <c r="A2989" s="1" t="str">
        <f>"IN30023911823686"</f>
        <v>IN30023911823686</v>
      </c>
      <c r="B2989" s="1" t="s">
        <v>10892</v>
      </c>
      <c r="C2989" s="1" t="s">
        <v>10893</v>
      </c>
      <c r="D2989" s="1" t="s">
        <v>10894</v>
      </c>
      <c r="E2989" s="1" t="s">
        <v>10895</v>
      </c>
      <c r="F2989" s="1"/>
      <c r="G2989" s="1">
        <v>683574</v>
      </c>
      <c r="H2989" s="1">
        <v>150</v>
      </c>
    </row>
    <row r="2990" spans="1:8" ht="21.75" customHeight="1">
      <c r="A2990" s="1" t="str">
        <f>"1204470003453920"</f>
        <v>1204470003453920</v>
      </c>
      <c r="B2990" s="1" t="s">
        <v>10896</v>
      </c>
      <c r="C2990" s="1" t="s">
        <v>10897</v>
      </c>
      <c r="D2990" s="1" t="s">
        <v>10898</v>
      </c>
      <c r="E2990" s="1" t="s">
        <v>10899</v>
      </c>
      <c r="F2990" s="1" t="s">
        <v>52</v>
      </c>
      <c r="G2990" s="1">
        <v>683577</v>
      </c>
      <c r="H2990" s="1">
        <v>247.5</v>
      </c>
    </row>
    <row r="2991" spans="1:8" ht="21.75" customHeight="1">
      <c r="A2991" s="1" t="str">
        <f>"IN30023911210554"</f>
        <v>IN30023911210554</v>
      </c>
      <c r="B2991" s="1" t="s">
        <v>10900</v>
      </c>
      <c r="C2991" s="1" t="s">
        <v>10901</v>
      </c>
      <c r="D2991" s="1" t="s">
        <v>10902</v>
      </c>
      <c r="E2991" s="1" t="s">
        <v>10903</v>
      </c>
      <c r="F2991" s="1"/>
      <c r="G2991" s="1">
        <v>683577</v>
      </c>
      <c r="H2991" s="1">
        <v>18.75</v>
      </c>
    </row>
    <row r="2992" spans="1:8" ht="21.75" customHeight="1">
      <c r="A2992" s="1" t="str">
        <f>"IN30177415796055"</f>
        <v>IN30177415796055</v>
      </c>
      <c r="B2992" s="1" t="s">
        <v>10904</v>
      </c>
      <c r="C2992" s="1" t="s">
        <v>10905</v>
      </c>
      <c r="D2992" s="1" t="s">
        <v>10906</v>
      </c>
      <c r="E2992" s="1" t="s">
        <v>10895</v>
      </c>
      <c r="F2992" s="1"/>
      <c r="G2992" s="1">
        <v>683577</v>
      </c>
      <c r="H2992" s="1">
        <v>22.5</v>
      </c>
    </row>
    <row r="2993" spans="1:8" ht="21.75" customHeight="1">
      <c r="A2993" s="1" t="str">
        <f>"IN30189510498843"</f>
        <v>IN30189510498843</v>
      </c>
      <c r="B2993" s="1" t="s">
        <v>10907</v>
      </c>
      <c r="C2993" s="1" t="s">
        <v>10908</v>
      </c>
      <c r="D2993" s="1" t="s">
        <v>10909</v>
      </c>
      <c r="E2993" s="1" t="s">
        <v>10796</v>
      </c>
      <c r="F2993" s="1"/>
      <c r="G2993" s="1">
        <v>683581</v>
      </c>
      <c r="H2993" s="1">
        <v>30</v>
      </c>
    </row>
    <row r="2994" spans="1:8" ht="21.75" customHeight="1">
      <c r="A2994" s="1" t="str">
        <f>"1201910101054196"</f>
        <v>1201910101054196</v>
      </c>
      <c r="B2994" s="1" t="s">
        <v>10910</v>
      </c>
      <c r="C2994" s="1" t="s">
        <v>10911</v>
      </c>
      <c r="D2994" s="1" t="s">
        <v>10912</v>
      </c>
      <c r="E2994" s="1"/>
      <c r="F2994" s="1" t="s">
        <v>10639</v>
      </c>
      <c r="G2994" s="1">
        <v>683581</v>
      </c>
      <c r="H2994" s="1">
        <v>161.25</v>
      </c>
    </row>
    <row r="2995" spans="1:8" ht="21.75" customHeight="1">
      <c r="A2995" s="1" t="str">
        <f>"1203350000839983"</f>
        <v>1203350000839983</v>
      </c>
      <c r="B2995" s="1" t="s">
        <v>10913</v>
      </c>
      <c r="C2995" s="1" t="s">
        <v>10914</v>
      </c>
      <c r="D2995" s="1" t="s">
        <v>10915</v>
      </c>
      <c r="E2995" s="1" t="s">
        <v>10916</v>
      </c>
      <c r="F2995" s="1" t="s">
        <v>10639</v>
      </c>
      <c r="G2995" s="1">
        <v>683582</v>
      </c>
      <c r="H2995" s="1">
        <v>75</v>
      </c>
    </row>
    <row r="2996" spans="1:8" ht="21.75" customHeight="1">
      <c r="A2996" s="1" t="str">
        <f>"IN30021415448598"</f>
        <v>IN30021415448598</v>
      </c>
      <c r="B2996" s="1" t="s">
        <v>10917</v>
      </c>
      <c r="C2996" s="1" t="s">
        <v>10918</v>
      </c>
      <c r="D2996" s="1"/>
      <c r="E2996" s="1" t="s">
        <v>10919</v>
      </c>
      <c r="F2996" s="1"/>
      <c r="G2996" s="1">
        <v>685505</v>
      </c>
      <c r="H2996" s="1">
        <v>75</v>
      </c>
    </row>
    <row r="2997" spans="1:8" ht="21.75" customHeight="1">
      <c r="A2997" s="1" t="str">
        <f>"IN30189510676125"</f>
        <v>IN30189510676125</v>
      </c>
      <c r="B2997" s="1" t="s">
        <v>10920</v>
      </c>
      <c r="C2997" s="1" t="s">
        <v>10921</v>
      </c>
      <c r="D2997" s="1" t="s">
        <v>10922</v>
      </c>
      <c r="E2997" s="1" t="s">
        <v>10923</v>
      </c>
      <c r="F2997" s="1"/>
      <c r="G2997" s="1">
        <v>685505</v>
      </c>
      <c r="H2997" s="1">
        <v>75</v>
      </c>
    </row>
    <row r="2998" spans="1:8" ht="21.75" customHeight="1">
      <c r="A2998" s="1" t="str">
        <f>"1203350000986564"</f>
        <v>1203350000986564</v>
      </c>
      <c r="B2998" s="1" t="s">
        <v>10924</v>
      </c>
      <c r="C2998" s="1" t="s">
        <v>10925</v>
      </c>
      <c r="D2998" s="1" t="s">
        <v>10926</v>
      </c>
      <c r="E2998" s="1" t="s">
        <v>10927</v>
      </c>
      <c r="F2998" s="1" t="s">
        <v>10928</v>
      </c>
      <c r="G2998" s="1">
        <v>685508</v>
      </c>
      <c r="H2998" s="1">
        <v>37.5</v>
      </c>
    </row>
    <row r="2999" spans="1:8" ht="21.75" customHeight="1">
      <c r="A2999" s="1" t="str">
        <f>"1203350001055539"</f>
        <v>1203350001055539</v>
      </c>
      <c r="B2999" s="1" t="s">
        <v>10929</v>
      </c>
      <c r="C2999" s="1" t="s">
        <v>10930</v>
      </c>
      <c r="D2999" s="1" t="s">
        <v>10931</v>
      </c>
      <c r="E2999" s="1" t="s">
        <v>10932</v>
      </c>
      <c r="F2999" s="1" t="s">
        <v>10928</v>
      </c>
      <c r="G2999" s="1">
        <v>685508</v>
      </c>
      <c r="H2999" s="1">
        <v>1125</v>
      </c>
    </row>
    <row r="3000" spans="1:8" ht="21.75" customHeight="1">
      <c r="A3000" s="1" t="str">
        <f>"1203350001097417"</f>
        <v>1203350001097417</v>
      </c>
      <c r="B3000" s="1" t="s">
        <v>10933</v>
      </c>
      <c r="C3000" s="1" t="s">
        <v>10934</v>
      </c>
      <c r="D3000" s="1" t="s">
        <v>5424</v>
      </c>
      <c r="E3000" s="1"/>
      <c r="F3000" s="1" t="s">
        <v>10928</v>
      </c>
      <c r="G3000" s="1">
        <v>685508</v>
      </c>
      <c r="H3000" s="1">
        <v>213.75</v>
      </c>
    </row>
    <row r="3001" spans="1:8" ht="21.75" customHeight="1">
      <c r="A3001" s="1" t="str">
        <f>"1203350000989681"</f>
        <v>1203350000989681</v>
      </c>
      <c r="B3001" s="1" t="s">
        <v>10935</v>
      </c>
      <c r="C3001" s="1" t="s">
        <v>10936</v>
      </c>
      <c r="D3001" s="1" t="s">
        <v>10937</v>
      </c>
      <c r="E3001" s="1" t="s">
        <v>10938</v>
      </c>
      <c r="F3001" s="1" t="s">
        <v>10939</v>
      </c>
      <c r="G3001" s="1">
        <v>685509</v>
      </c>
      <c r="H3001" s="1">
        <v>750</v>
      </c>
    </row>
    <row r="3002" spans="1:8" ht="21.75" customHeight="1">
      <c r="A3002" s="1" t="str">
        <f>"1203280000177483"</f>
        <v>1203280000177483</v>
      </c>
      <c r="B3002" s="1" t="s">
        <v>10940</v>
      </c>
      <c r="C3002" s="1" t="s">
        <v>10941</v>
      </c>
      <c r="D3002" s="1" t="s">
        <v>10942</v>
      </c>
      <c r="E3002" s="1"/>
      <c r="F3002" s="1" t="s">
        <v>10939</v>
      </c>
      <c r="G3002" s="1">
        <v>685509</v>
      </c>
      <c r="H3002" s="1">
        <v>71.25</v>
      </c>
    </row>
    <row r="3003" spans="1:8" ht="21.75" customHeight="1">
      <c r="A3003" s="1" t="str">
        <f>"IN30023913699221"</f>
        <v>IN30023913699221</v>
      </c>
      <c r="B3003" s="1" t="s">
        <v>10943</v>
      </c>
      <c r="C3003" s="1" t="s">
        <v>10944</v>
      </c>
      <c r="D3003" s="1" t="s">
        <v>10945</v>
      </c>
      <c r="E3003" s="1" t="s">
        <v>10946</v>
      </c>
      <c r="F3003" s="1"/>
      <c r="G3003" s="1">
        <v>685511</v>
      </c>
      <c r="H3003" s="1">
        <v>3</v>
      </c>
    </row>
    <row r="3004" spans="1:8" ht="21.75" customHeight="1">
      <c r="A3004" s="1" t="str">
        <f>"1203350001026176"</f>
        <v>1203350001026176</v>
      </c>
      <c r="B3004" s="1" t="s">
        <v>10947</v>
      </c>
      <c r="C3004" s="1" t="s">
        <v>10948</v>
      </c>
      <c r="D3004" s="1" t="s">
        <v>10949</v>
      </c>
      <c r="E3004" s="1" t="s">
        <v>10938</v>
      </c>
      <c r="F3004" s="1" t="s">
        <v>10950</v>
      </c>
      <c r="G3004" s="1">
        <v>685512</v>
      </c>
      <c r="H3004" s="1">
        <v>45</v>
      </c>
    </row>
    <row r="3005" spans="1:8" ht="21.75" customHeight="1">
      <c r="A3005" s="1" t="str">
        <f>"IN30189510404385"</f>
        <v>IN30189510404385</v>
      </c>
      <c r="B3005" s="1" t="s">
        <v>10951</v>
      </c>
      <c r="C3005" s="1" t="s">
        <v>10952</v>
      </c>
      <c r="D3005" s="1" t="s">
        <v>10953</v>
      </c>
      <c r="E3005" s="1" t="s">
        <v>10923</v>
      </c>
      <c r="F3005" s="1"/>
      <c r="G3005" s="1">
        <v>685515</v>
      </c>
      <c r="H3005" s="1">
        <v>60.75</v>
      </c>
    </row>
    <row r="3006" spans="1:8" ht="21.75" customHeight="1">
      <c r="A3006" s="1" t="str">
        <f>"1206370000012856"</f>
        <v>1206370000012856</v>
      </c>
      <c r="B3006" s="1" t="s">
        <v>10954</v>
      </c>
      <c r="C3006" s="1" t="s">
        <v>10955</v>
      </c>
      <c r="D3006" s="1" t="s">
        <v>10956</v>
      </c>
      <c r="E3006" s="1" t="s">
        <v>10957</v>
      </c>
      <c r="F3006" s="1" t="s">
        <v>5424</v>
      </c>
      <c r="G3006" s="1">
        <v>685533</v>
      </c>
      <c r="H3006" s="1">
        <v>7.5</v>
      </c>
    </row>
    <row r="3007" spans="1:8" ht="21.75" customHeight="1">
      <c r="A3007" s="1" t="str">
        <f>"IN30189510881653"</f>
        <v>IN30189510881653</v>
      </c>
      <c r="B3007" s="1" t="s">
        <v>10958</v>
      </c>
      <c r="C3007" s="1" t="s">
        <v>10959</v>
      </c>
      <c r="D3007" s="1" t="s">
        <v>10960</v>
      </c>
      <c r="E3007" s="1" t="s">
        <v>10961</v>
      </c>
      <c r="F3007" s="1"/>
      <c r="G3007" s="1">
        <v>685533</v>
      </c>
      <c r="H3007" s="1">
        <v>7.5</v>
      </c>
    </row>
    <row r="3008" spans="1:8" ht="21.75" customHeight="1">
      <c r="A3008" s="1" t="str">
        <f>"1203350000962532"</f>
        <v>1203350000962532</v>
      </c>
      <c r="B3008" s="1" t="s">
        <v>10962</v>
      </c>
      <c r="C3008" s="1" t="s">
        <v>10963</v>
      </c>
      <c r="D3008" s="1" t="s">
        <v>10964</v>
      </c>
      <c r="E3008" s="1" t="s">
        <v>10965</v>
      </c>
      <c r="F3008" s="1" t="s">
        <v>10965</v>
      </c>
      <c r="G3008" s="1">
        <v>685552</v>
      </c>
      <c r="H3008" s="1">
        <v>150</v>
      </c>
    </row>
    <row r="3009" spans="1:8" ht="21.75" customHeight="1">
      <c r="A3009" s="1" t="str">
        <f>"1203500000693036"</f>
        <v>1203500000693036</v>
      </c>
      <c r="B3009" s="1" t="s">
        <v>10966</v>
      </c>
      <c r="C3009" s="1" t="s">
        <v>10967</v>
      </c>
      <c r="D3009" s="1" t="s">
        <v>10968</v>
      </c>
      <c r="E3009" s="1" t="s">
        <v>10969</v>
      </c>
      <c r="F3009" s="1" t="s">
        <v>5424</v>
      </c>
      <c r="G3009" s="1">
        <v>685552</v>
      </c>
      <c r="H3009" s="1">
        <v>562.5</v>
      </c>
    </row>
    <row r="3010" spans="1:8" ht="21.75" customHeight="1">
      <c r="A3010" s="1" t="str">
        <f>"IN30181110162457"</f>
        <v>IN30181110162457</v>
      </c>
      <c r="B3010" s="1" t="s">
        <v>10970</v>
      </c>
      <c r="C3010" s="1" t="s">
        <v>10971</v>
      </c>
      <c r="D3010" s="1" t="s">
        <v>10972</v>
      </c>
      <c r="E3010" s="1" t="s">
        <v>10973</v>
      </c>
      <c r="F3010" s="1"/>
      <c r="G3010" s="1">
        <v>685553</v>
      </c>
      <c r="H3010" s="1">
        <v>75</v>
      </c>
    </row>
    <row r="3011" spans="1:8" ht="21.75" customHeight="1">
      <c r="A3011" s="1" t="str">
        <f>"1203350000959614"</f>
        <v>1203350000959614</v>
      </c>
      <c r="B3011" s="1" t="s">
        <v>10974</v>
      </c>
      <c r="C3011" s="1" t="s">
        <v>10975</v>
      </c>
      <c r="D3011" s="1" t="s">
        <v>10976</v>
      </c>
      <c r="E3011" s="1"/>
      <c r="F3011" s="1" t="s">
        <v>10977</v>
      </c>
      <c r="G3011" s="1">
        <v>685553</v>
      </c>
      <c r="H3011" s="1">
        <v>104.25</v>
      </c>
    </row>
    <row r="3012" spans="1:8" ht="21.75" customHeight="1">
      <c r="A3012" s="1" t="str">
        <f>"1201330000538815"</f>
        <v>1201330000538815</v>
      </c>
      <c r="B3012" s="1" t="s">
        <v>10978</v>
      </c>
      <c r="C3012" s="1" t="s">
        <v>10979</v>
      </c>
      <c r="D3012" s="1" t="s">
        <v>10980</v>
      </c>
      <c r="E3012" s="1" t="s">
        <v>10981</v>
      </c>
      <c r="F3012" s="1" t="s">
        <v>5424</v>
      </c>
      <c r="G3012" s="1">
        <v>685561</v>
      </c>
      <c r="H3012" s="1">
        <v>144.75</v>
      </c>
    </row>
    <row r="3013" spans="1:8" ht="21.75" customHeight="1">
      <c r="A3013" s="1" t="str">
        <f>"IN30023912199504"</f>
        <v>IN30023912199504</v>
      </c>
      <c r="B3013" s="1" t="s">
        <v>10982</v>
      </c>
      <c r="C3013" s="1" t="s">
        <v>10983</v>
      </c>
      <c r="D3013" s="1" t="s">
        <v>10984</v>
      </c>
      <c r="E3013" s="1" t="s">
        <v>10985</v>
      </c>
      <c r="F3013" s="1"/>
      <c r="G3013" s="1">
        <v>685561</v>
      </c>
      <c r="H3013" s="1">
        <v>164.25</v>
      </c>
    </row>
    <row r="3014" spans="1:8" ht="21.75" customHeight="1">
      <c r="A3014" s="1" t="str">
        <f>"1206370000014606"</f>
        <v>1206370000014606</v>
      </c>
      <c r="B3014" s="1" t="s">
        <v>10986</v>
      </c>
      <c r="C3014" s="1" t="s">
        <v>10987</v>
      </c>
      <c r="D3014" s="1" t="s">
        <v>10988</v>
      </c>
      <c r="E3014" s="1"/>
      <c r="F3014" s="1" t="s">
        <v>10984</v>
      </c>
      <c r="G3014" s="1">
        <v>685561</v>
      </c>
      <c r="H3014" s="1">
        <v>24</v>
      </c>
    </row>
    <row r="3015" spans="1:8" ht="21.75" customHeight="1">
      <c r="A3015" s="1" t="str">
        <f>"1206370000014089"</f>
        <v>1206370000014089</v>
      </c>
      <c r="B3015" s="1" t="s">
        <v>10989</v>
      </c>
      <c r="C3015" s="1" t="s">
        <v>10990</v>
      </c>
      <c r="D3015" s="1" t="s">
        <v>10991</v>
      </c>
      <c r="E3015" s="1"/>
      <c r="F3015" s="1" t="s">
        <v>10984</v>
      </c>
      <c r="G3015" s="1">
        <v>685561</v>
      </c>
      <c r="H3015" s="1">
        <v>4.5</v>
      </c>
    </row>
    <row r="3016" spans="1:8" ht="21.75" customHeight="1">
      <c r="A3016" s="1" t="str">
        <f>"1206370000013864"</f>
        <v>1206370000013864</v>
      </c>
      <c r="B3016" s="1" t="s">
        <v>10992</v>
      </c>
      <c r="C3016" s="1" t="s">
        <v>10993</v>
      </c>
      <c r="D3016" s="1" t="s">
        <v>10994</v>
      </c>
      <c r="E3016" s="1" t="s">
        <v>10995</v>
      </c>
      <c r="F3016" s="1" t="s">
        <v>5424</v>
      </c>
      <c r="G3016" s="1">
        <v>685561</v>
      </c>
      <c r="H3016" s="1">
        <v>20.25</v>
      </c>
    </row>
    <row r="3017" spans="1:8" ht="21.75" customHeight="1">
      <c r="A3017" s="1" t="str">
        <f>"1204470006339525"</f>
        <v>1204470006339525</v>
      </c>
      <c r="B3017" s="1" t="s">
        <v>10996</v>
      </c>
      <c r="C3017" s="1" t="s">
        <v>10997</v>
      </c>
      <c r="D3017" s="1" t="s">
        <v>10998</v>
      </c>
      <c r="E3017" s="1"/>
      <c r="F3017" s="1" t="s">
        <v>10999</v>
      </c>
      <c r="G3017" s="1">
        <v>685564</v>
      </c>
      <c r="H3017" s="1">
        <v>18.75</v>
      </c>
    </row>
    <row r="3018" spans="1:8" ht="21.75" customHeight="1">
      <c r="A3018" s="1" t="str">
        <f>"1203350001128501"</f>
        <v>1203350001128501</v>
      </c>
      <c r="B3018" s="1" t="s">
        <v>11000</v>
      </c>
      <c r="C3018" s="1" t="s">
        <v>11001</v>
      </c>
      <c r="D3018" s="1" t="s">
        <v>11002</v>
      </c>
      <c r="E3018" s="1" t="s">
        <v>10965</v>
      </c>
      <c r="F3018" s="1" t="s">
        <v>10965</v>
      </c>
      <c r="G3018" s="1">
        <v>685566</v>
      </c>
      <c r="H3018" s="1">
        <v>15</v>
      </c>
    </row>
    <row r="3019" spans="1:8" ht="21.75" customHeight="1">
      <c r="A3019" s="1" t="str">
        <f>"1203350000585719"</f>
        <v>1203350000585719</v>
      </c>
      <c r="B3019" s="1" t="s">
        <v>11003</v>
      </c>
      <c r="C3019" s="1" t="s">
        <v>11004</v>
      </c>
      <c r="D3019" s="1"/>
      <c r="E3019" s="1"/>
      <c r="F3019" s="1" t="s">
        <v>11005</v>
      </c>
      <c r="G3019" s="1">
        <v>685582</v>
      </c>
      <c r="H3019" s="1">
        <v>7.5</v>
      </c>
    </row>
    <row r="3020" spans="1:8" ht="21.75" customHeight="1">
      <c r="A3020" s="1" t="str">
        <f>"1204470004301228"</f>
        <v>1204470004301228</v>
      </c>
      <c r="B3020" s="1" t="s">
        <v>11006</v>
      </c>
      <c r="C3020" s="1" t="s">
        <v>11007</v>
      </c>
      <c r="D3020" s="1" t="s">
        <v>11008</v>
      </c>
      <c r="E3020" s="1"/>
      <c r="F3020" s="1" t="s">
        <v>5424</v>
      </c>
      <c r="G3020" s="1">
        <v>685582</v>
      </c>
      <c r="H3020" s="1">
        <v>36.75</v>
      </c>
    </row>
    <row r="3021" spans="1:8" ht="21.75" customHeight="1">
      <c r="A3021" s="1" t="str">
        <f>"IN30181110156504"</f>
        <v>IN30181110156504</v>
      </c>
      <c r="B3021" s="1" t="s">
        <v>11009</v>
      </c>
      <c r="C3021" s="1" t="s">
        <v>11010</v>
      </c>
      <c r="D3021" s="1" t="s">
        <v>11011</v>
      </c>
      <c r="E3021" s="1" t="s">
        <v>11012</v>
      </c>
      <c r="F3021" s="1"/>
      <c r="G3021" s="1">
        <v>685589</v>
      </c>
      <c r="H3021" s="1">
        <v>48.75</v>
      </c>
    </row>
    <row r="3022" spans="1:8" ht="21.75" customHeight="1">
      <c r="A3022" s="1" t="str">
        <f>"IN30189510989053"</f>
        <v>IN30189510989053</v>
      </c>
      <c r="B3022" s="1" t="s">
        <v>11013</v>
      </c>
      <c r="C3022" s="1" t="s">
        <v>11014</v>
      </c>
      <c r="D3022" s="1" t="s">
        <v>11015</v>
      </c>
      <c r="E3022" s="1" t="s">
        <v>11016</v>
      </c>
      <c r="F3022" s="1"/>
      <c r="G3022" s="1">
        <v>685602</v>
      </c>
      <c r="H3022" s="1">
        <v>225</v>
      </c>
    </row>
    <row r="3023" spans="1:8" ht="21.75" customHeight="1">
      <c r="A3023" s="1" t="str">
        <f>"1203350000977570"</f>
        <v>1203350000977570</v>
      </c>
      <c r="B3023" s="1" t="s">
        <v>11017</v>
      </c>
      <c r="C3023" s="1" t="s">
        <v>11018</v>
      </c>
      <c r="D3023" s="1" t="s">
        <v>11019</v>
      </c>
      <c r="E3023" s="1" t="s">
        <v>11020</v>
      </c>
      <c r="F3023" s="1" t="s">
        <v>11019</v>
      </c>
      <c r="G3023" s="1">
        <v>685604</v>
      </c>
      <c r="H3023" s="1">
        <v>150</v>
      </c>
    </row>
    <row r="3024" spans="1:8" ht="21.75" customHeight="1">
      <c r="A3024" s="1" t="str">
        <f>"1204470003379530"</f>
        <v>1204470003379530</v>
      </c>
      <c r="B3024" s="1" t="s">
        <v>11021</v>
      </c>
      <c r="C3024" s="1" t="s">
        <v>11022</v>
      </c>
      <c r="D3024" s="1" t="s">
        <v>11023</v>
      </c>
      <c r="E3024" s="1" t="s">
        <v>11024</v>
      </c>
      <c r="F3024" s="1" t="s">
        <v>11025</v>
      </c>
      <c r="G3024" s="1">
        <v>685619</v>
      </c>
      <c r="H3024" s="1">
        <v>444.75</v>
      </c>
    </row>
    <row r="3025" spans="1:8" ht="21.75" customHeight="1">
      <c r="A3025" s="1" t="str">
        <f>"IN30189511091338"</f>
        <v>IN30189511091338</v>
      </c>
      <c r="B3025" s="1" t="s">
        <v>11026</v>
      </c>
      <c r="C3025" s="1" t="s">
        <v>11027</v>
      </c>
      <c r="D3025" s="1" t="s">
        <v>11028</v>
      </c>
      <c r="E3025" s="1" t="s">
        <v>11029</v>
      </c>
      <c r="F3025" s="1"/>
      <c r="G3025" s="1">
        <v>686001</v>
      </c>
      <c r="H3025" s="1">
        <v>42.75</v>
      </c>
    </row>
    <row r="3026" spans="1:8" ht="21.75" customHeight="1">
      <c r="A3026" s="1" t="str">
        <f>"IN30023911798383"</f>
        <v>IN30023911798383</v>
      </c>
      <c r="B3026" s="1" t="s">
        <v>11030</v>
      </c>
      <c r="C3026" s="1" t="s">
        <v>11031</v>
      </c>
      <c r="D3026" s="1" t="s">
        <v>11032</v>
      </c>
      <c r="E3026" s="1" t="s">
        <v>5462</v>
      </c>
      <c r="F3026" s="1"/>
      <c r="G3026" s="1">
        <v>686004</v>
      </c>
      <c r="H3026" s="1">
        <v>37.5</v>
      </c>
    </row>
    <row r="3027" spans="1:8" ht="21.75" customHeight="1">
      <c r="A3027" s="1" t="str">
        <f>"IN30177414935539"</f>
        <v>IN30177414935539</v>
      </c>
      <c r="B3027" s="1" t="s">
        <v>11033</v>
      </c>
      <c r="C3027" s="1" t="s">
        <v>11034</v>
      </c>
      <c r="D3027" s="1" t="s">
        <v>11035</v>
      </c>
      <c r="E3027" s="1" t="s">
        <v>59</v>
      </c>
      <c r="F3027" s="1"/>
      <c r="G3027" s="1">
        <v>686006</v>
      </c>
      <c r="H3027" s="1">
        <v>168</v>
      </c>
    </row>
    <row r="3028" spans="1:8" ht="21.75" customHeight="1">
      <c r="A3028" s="1" t="str">
        <f>"IN30023913340239"</f>
        <v>IN30023913340239</v>
      </c>
      <c r="B3028" s="1" t="s">
        <v>11036</v>
      </c>
      <c r="C3028" s="1" t="s">
        <v>11037</v>
      </c>
      <c r="D3028" s="1" t="s">
        <v>11038</v>
      </c>
      <c r="E3028" s="1" t="s">
        <v>11039</v>
      </c>
      <c r="F3028" s="1"/>
      <c r="G3028" s="1">
        <v>686008</v>
      </c>
      <c r="H3028" s="1">
        <v>0.75</v>
      </c>
    </row>
    <row r="3029" spans="1:8" ht="21.75" customHeight="1">
      <c r="A3029" s="1" t="str">
        <f>"1202980000308117"</f>
        <v>1202980000308117</v>
      </c>
      <c r="B3029" s="1" t="s">
        <v>11040</v>
      </c>
      <c r="C3029" s="1" t="s">
        <v>11041</v>
      </c>
      <c r="D3029" s="1" t="s">
        <v>11042</v>
      </c>
      <c r="E3029" s="1"/>
      <c r="F3029" s="1" t="s">
        <v>59</v>
      </c>
      <c r="G3029" s="1">
        <v>686016</v>
      </c>
      <c r="H3029" s="1">
        <v>48.75</v>
      </c>
    </row>
    <row r="3030" spans="1:8" ht="21.75" customHeight="1">
      <c r="A3030" s="1" t="str">
        <f>"IN30039414613134"</f>
        <v>IN30039414613134</v>
      </c>
      <c r="B3030" s="1" t="s">
        <v>11043</v>
      </c>
      <c r="C3030" s="1" t="s">
        <v>11044</v>
      </c>
      <c r="D3030" s="1" t="s">
        <v>11045</v>
      </c>
      <c r="E3030" s="1" t="s">
        <v>11046</v>
      </c>
      <c r="F3030" s="1"/>
      <c r="G3030" s="1">
        <v>686022</v>
      </c>
      <c r="H3030" s="1">
        <v>187.5</v>
      </c>
    </row>
    <row r="3031" spans="1:8" ht="21.75" customHeight="1">
      <c r="A3031" s="1" t="str">
        <f>"1204470005472292"</f>
        <v>1204470005472292</v>
      </c>
      <c r="B3031" s="1" t="s">
        <v>11047</v>
      </c>
      <c r="C3031" s="1" t="s">
        <v>11048</v>
      </c>
      <c r="D3031" s="1" t="s">
        <v>11049</v>
      </c>
      <c r="E3031" s="1" t="s">
        <v>11050</v>
      </c>
      <c r="F3031" s="1" t="s">
        <v>59</v>
      </c>
      <c r="G3031" s="1">
        <v>686027</v>
      </c>
      <c r="H3031" s="1">
        <v>18.75</v>
      </c>
    </row>
    <row r="3032" spans="1:8" ht="21.75" customHeight="1">
      <c r="A3032" s="1" t="str">
        <f>"IN30226912275542"</f>
        <v>IN30226912275542</v>
      </c>
      <c r="B3032" s="1" t="s">
        <v>11051</v>
      </c>
      <c r="C3032" s="1" t="s">
        <v>11052</v>
      </c>
      <c r="D3032" s="1" t="s">
        <v>59</v>
      </c>
      <c r="E3032" s="1" t="s">
        <v>509</v>
      </c>
      <c r="F3032" s="1"/>
      <c r="G3032" s="1">
        <v>686037</v>
      </c>
      <c r="H3032" s="1">
        <v>1500</v>
      </c>
    </row>
    <row r="3033" spans="1:8" ht="21.75" customHeight="1">
      <c r="A3033" s="1" t="str">
        <f>"IN30023912635137"</f>
        <v>IN30023912635137</v>
      </c>
      <c r="B3033" s="1" t="s">
        <v>11053</v>
      </c>
      <c r="C3033" s="1" t="s">
        <v>11054</v>
      </c>
      <c r="D3033" s="1" t="s">
        <v>5455</v>
      </c>
      <c r="E3033" s="1" t="s">
        <v>5455</v>
      </c>
      <c r="F3033" s="1"/>
      <c r="G3033" s="1">
        <v>686101</v>
      </c>
      <c r="H3033" s="1">
        <v>0.75</v>
      </c>
    </row>
    <row r="3034" spans="1:8" ht="21.75" customHeight="1">
      <c r="A3034" s="1" t="str">
        <f>"1204940000033177"</f>
        <v>1204940000033177</v>
      </c>
      <c r="B3034" s="1" t="s">
        <v>11055</v>
      </c>
      <c r="C3034" s="1" t="s">
        <v>11056</v>
      </c>
      <c r="D3034" s="1" t="s">
        <v>11057</v>
      </c>
      <c r="E3034" s="1" t="s">
        <v>5455</v>
      </c>
      <c r="F3034" s="1" t="s">
        <v>59</v>
      </c>
      <c r="G3034" s="1">
        <v>686102</v>
      </c>
      <c r="H3034" s="1">
        <v>3</v>
      </c>
    </row>
    <row r="3035" spans="1:8" ht="21.75" customHeight="1">
      <c r="A3035" s="1" t="str">
        <f>"1202390000249896"</f>
        <v>1202390000249896</v>
      </c>
      <c r="B3035" s="1" t="s">
        <v>11058</v>
      </c>
      <c r="C3035" s="1" t="s">
        <v>11059</v>
      </c>
      <c r="D3035" s="1" t="s">
        <v>11060</v>
      </c>
      <c r="E3035" s="1" t="s">
        <v>5455</v>
      </c>
      <c r="F3035" s="1" t="s">
        <v>410</v>
      </c>
      <c r="G3035" s="1">
        <v>686106</v>
      </c>
      <c r="H3035" s="1">
        <v>0.75</v>
      </c>
    </row>
    <row r="3036" spans="1:8" ht="21.75" customHeight="1">
      <c r="A3036" s="1" t="str">
        <f>"1201090002003935"</f>
        <v>1201090002003935</v>
      </c>
      <c r="B3036" s="1" t="s">
        <v>11061</v>
      </c>
      <c r="C3036" s="1" t="s">
        <v>9597</v>
      </c>
      <c r="D3036" s="1" t="s">
        <v>11062</v>
      </c>
      <c r="E3036" s="1" t="s">
        <v>11063</v>
      </c>
      <c r="F3036" s="1" t="s">
        <v>59</v>
      </c>
      <c r="G3036" s="1">
        <v>686122</v>
      </c>
      <c r="H3036" s="1">
        <v>1050</v>
      </c>
    </row>
    <row r="3037" spans="1:8" ht="21.75" customHeight="1">
      <c r="A3037" s="1" t="str">
        <f>"IN30189510883627"</f>
        <v>IN30189510883627</v>
      </c>
      <c r="B3037" s="1" t="s">
        <v>11064</v>
      </c>
      <c r="C3037" s="1" t="s">
        <v>11065</v>
      </c>
      <c r="D3037" s="1" t="s">
        <v>11066</v>
      </c>
      <c r="E3037" s="1" t="s">
        <v>11067</v>
      </c>
      <c r="F3037" s="1"/>
      <c r="G3037" s="1">
        <v>686123</v>
      </c>
      <c r="H3037" s="1">
        <v>37.5</v>
      </c>
    </row>
    <row r="3038" spans="1:8" ht="21.75" customHeight="1">
      <c r="A3038" s="1" t="str">
        <f>"IN30268710009803"</f>
        <v>IN30268710009803</v>
      </c>
      <c r="B3038" s="1" t="s">
        <v>11068</v>
      </c>
      <c r="C3038" s="1" t="s">
        <v>11069</v>
      </c>
      <c r="D3038" s="1" t="s">
        <v>11070</v>
      </c>
      <c r="E3038" s="1" t="s">
        <v>11071</v>
      </c>
      <c r="F3038" s="1"/>
      <c r="G3038" s="1">
        <v>686142</v>
      </c>
      <c r="H3038" s="1">
        <v>150</v>
      </c>
    </row>
    <row r="3039" spans="1:8" ht="21.75" customHeight="1">
      <c r="A3039" s="1" t="str">
        <f>"IN30189510873466"</f>
        <v>IN30189510873466</v>
      </c>
      <c r="B3039" s="1" t="s">
        <v>11072</v>
      </c>
      <c r="C3039" s="1" t="s">
        <v>11073</v>
      </c>
      <c r="D3039" s="1" t="s">
        <v>11074</v>
      </c>
      <c r="E3039" s="1" t="s">
        <v>11075</v>
      </c>
      <c r="F3039" s="1"/>
      <c r="G3039" s="1">
        <v>686144</v>
      </c>
      <c r="H3039" s="1">
        <v>2.25</v>
      </c>
    </row>
    <row r="3040" spans="1:8" ht="21.75" customHeight="1">
      <c r="A3040" s="1" t="str">
        <f>"IN30021415578195"</f>
        <v>IN30021415578195</v>
      </c>
      <c r="B3040" s="1" t="s">
        <v>1107</v>
      </c>
      <c r="C3040" s="1" t="s">
        <v>11076</v>
      </c>
      <c r="D3040" s="1" t="s">
        <v>11077</v>
      </c>
      <c r="E3040" s="1" t="s">
        <v>11078</v>
      </c>
      <c r="F3040" s="1"/>
      <c r="G3040" s="1">
        <v>686501</v>
      </c>
      <c r="H3040" s="1">
        <v>205.5</v>
      </c>
    </row>
    <row r="3041" spans="1:8" ht="21.75" customHeight="1">
      <c r="A3041" s="1" t="str">
        <f>"IN30189511072341"</f>
        <v>IN30189511072341</v>
      </c>
      <c r="B3041" s="1" t="s">
        <v>11079</v>
      </c>
      <c r="C3041" s="1" t="s">
        <v>11080</v>
      </c>
      <c r="D3041" s="1" t="s">
        <v>11081</v>
      </c>
      <c r="E3041" s="1" t="s">
        <v>11082</v>
      </c>
      <c r="F3041" s="1"/>
      <c r="G3041" s="1">
        <v>686502</v>
      </c>
      <c r="H3041" s="1">
        <v>75</v>
      </c>
    </row>
    <row r="3042" spans="1:8" ht="21.75" customHeight="1">
      <c r="A3042" s="1" t="str">
        <f>"IN30089610471968"</f>
        <v>IN30089610471968</v>
      </c>
      <c r="B3042" s="1" t="s">
        <v>11083</v>
      </c>
      <c r="C3042" s="1" t="s">
        <v>11084</v>
      </c>
      <c r="D3042" s="1" t="s">
        <v>11085</v>
      </c>
      <c r="E3042" s="1" t="s">
        <v>11086</v>
      </c>
      <c r="F3042" s="1"/>
      <c r="G3042" s="1">
        <v>686503</v>
      </c>
      <c r="H3042" s="1">
        <v>7.5</v>
      </c>
    </row>
    <row r="3043" spans="1:8" ht="21.75" customHeight="1">
      <c r="A3043" s="1" t="str">
        <f>"1203280000298536"</f>
        <v>1203280000298536</v>
      </c>
      <c r="B3043" s="1" t="s">
        <v>11087</v>
      </c>
      <c r="C3043" s="1" t="s">
        <v>11088</v>
      </c>
      <c r="D3043" s="1" t="s">
        <v>11089</v>
      </c>
      <c r="E3043" s="1" t="s">
        <v>11090</v>
      </c>
      <c r="F3043" s="1" t="s">
        <v>59</v>
      </c>
      <c r="G3043" s="1">
        <v>686507</v>
      </c>
      <c r="H3043" s="1">
        <v>120</v>
      </c>
    </row>
    <row r="3044" spans="1:8" ht="21.75" customHeight="1">
      <c r="A3044" s="1" t="str">
        <f>"1203350001076823"</f>
        <v>1203350001076823</v>
      </c>
      <c r="B3044" s="1" t="s">
        <v>11091</v>
      </c>
      <c r="C3044" s="1" t="s">
        <v>11092</v>
      </c>
      <c r="D3044" s="1" t="s">
        <v>11093</v>
      </c>
      <c r="E3044" s="1" t="s">
        <v>11094</v>
      </c>
      <c r="F3044" s="1" t="s">
        <v>59</v>
      </c>
      <c r="G3044" s="1">
        <v>686507</v>
      </c>
      <c r="H3044" s="1">
        <v>22.5</v>
      </c>
    </row>
    <row r="3045" spans="1:8" ht="21.75" customHeight="1">
      <c r="A3045" s="1" t="str">
        <f>"IN30189510587140"</f>
        <v>IN30189510587140</v>
      </c>
      <c r="B3045" s="1" t="s">
        <v>11095</v>
      </c>
      <c r="C3045" s="1" t="s">
        <v>11096</v>
      </c>
      <c r="D3045" s="1" t="s">
        <v>11097</v>
      </c>
      <c r="E3045" s="1" t="s">
        <v>11098</v>
      </c>
      <c r="F3045" s="1"/>
      <c r="G3045" s="1">
        <v>686512</v>
      </c>
      <c r="H3045" s="1">
        <v>0.75</v>
      </c>
    </row>
    <row r="3046" spans="1:8" ht="21.75" customHeight="1">
      <c r="A3046" s="1" t="str">
        <f>"IN30189510614972"</f>
        <v>IN30189510614972</v>
      </c>
      <c r="B3046" s="1" t="s">
        <v>11099</v>
      </c>
      <c r="C3046" s="1" t="s">
        <v>11100</v>
      </c>
      <c r="D3046" s="1" t="s">
        <v>11101</v>
      </c>
      <c r="E3046" s="1" t="s">
        <v>11067</v>
      </c>
      <c r="F3046" s="1"/>
      <c r="G3046" s="1">
        <v>686513</v>
      </c>
      <c r="H3046" s="1">
        <v>187.5</v>
      </c>
    </row>
    <row r="3047" spans="1:8" ht="21.75" customHeight="1">
      <c r="A3047" s="1" t="str">
        <f>"IN30023910589108"</f>
        <v>IN30023910589108</v>
      </c>
      <c r="B3047" s="1" t="s">
        <v>11102</v>
      </c>
      <c r="C3047" s="1" t="s">
        <v>11103</v>
      </c>
      <c r="D3047" s="1" t="s">
        <v>11104</v>
      </c>
      <c r="E3047" s="1" t="s">
        <v>5462</v>
      </c>
      <c r="F3047" s="1"/>
      <c r="G3047" s="1">
        <v>686532</v>
      </c>
      <c r="H3047" s="1">
        <v>75</v>
      </c>
    </row>
    <row r="3048" spans="1:8" ht="21.75" customHeight="1">
      <c r="A3048" s="1" t="str">
        <f>"IN30023913537121"</f>
        <v>IN30023913537121</v>
      </c>
      <c r="B3048" s="1" t="s">
        <v>11105</v>
      </c>
      <c r="C3048" s="1" t="s">
        <v>11106</v>
      </c>
      <c r="D3048" s="1" t="s">
        <v>11107</v>
      </c>
      <c r="E3048" s="1" t="s">
        <v>59</v>
      </c>
      <c r="F3048" s="1"/>
      <c r="G3048" s="1">
        <v>686533</v>
      </c>
      <c r="H3048" s="1">
        <v>112.5</v>
      </c>
    </row>
    <row r="3049" spans="1:8" ht="21.75" customHeight="1">
      <c r="A3049" s="1" t="str">
        <f>"1201090012676274"</f>
        <v>1201090012676274</v>
      </c>
      <c r="B3049" s="1" t="s">
        <v>11108</v>
      </c>
      <c r="C3049" s="1" t="s">
        <v>11109</v>
      </c>
      <c r="D3049" s="1" t="s">
        <v>11110</v>
      </c>
      <c r="E3049" s="1" t="s">
        <v>5455</v>
      </c>
      <c r="F3049" s="1" t="s">
        <v>59</v>
      </c>
      <c r="G3049" s="1">
        <v>686535</v>
      </c>
      <c r="H3049" s="1">
        <v>16.5</v>
      </c>
    </row>
    <row r="3050" spans="1:8" ht="21.75" customHeight="1">
      <c r="A3050" s="1" t="str">
        <f>"1206370000007151"</f>
        <v>1206370000007151</v>
      </c>
      <c r="B3050" s="1" t="s">
        <v>11111</v>
      </c>
      <c r="C3050" s="1" t="s">
        <v>11112</v>
      </c>
      <c r="D3050" s="1" t="s">
        <v>11113</v>
      </c>
      <c r="E3050" s="1"/>
      <c r="F3050" s="1" t="s">
        <v>59</v>
      </c>
      <c r="G3050" s="1">
        <v>686539</v>
      </c>
      <c r="H3050" s="1">
        <v>22.5</v>
      </c>
    </row>
    <row r="3051" spans="1:8" ht="21.75" customHeight="1">
      <c r="A3051" s="1" t="str">
        <f>"IN30226913642143"</f>
        <v>IN30226913642143</v>
      </c>
      <c r="B3051" s="1" t="s">
        <v>11114</v>
      </c>
      <c r="C3051" s="1" t="s">
        <v>11115</v>
      </c>
      <c r="D3051" s="1" t="s">
        <v>11116</v>
      </c>
      <c r="E3051" s="1" t="s">
        <v>11117</v>
      </c>
      <c r="F3051" s="1"/>
      <c r="G3051" s="1">
        <v>686539</v>
      </c>
      <c r="H3051" s="1">
        <v>36.75</v>
      </c>
    </row>
    <row r="3052" spans="1:8" ht="21.75" customHeight="1">
      <c r="A3052" s="1" t="str">
        <f>"1205670000101537"</f>
        <v>1205670000101537</v>
      </c>
      <c r="B3052" s="1" t="s">
        <v>11119</v>
      </c>
      <c r="C3052" s="1" t="s">
        <v>11120</v>
      </c>
      <c r="D3052" s="1" t="s">
        <v>11121</v>
      </c>
      <c r="E3052" s="1" t="s">
        <v>11122</v>
      </c>
      <c r="F3052" s="1" t="s">
        <v>59</v>
      </c>
      <c r="G3052" s="1">
        <v>686540</v>
      </c>
      <c r="H3052" s="1">
        <v>12.75</v>
      </c>
    </row>
    <row r="3053" spans="1:8" ht="21.75" customHeight="1">
      <c r="A3053" s="1" t="str">
        <f>"IN30023912861937"</f>
        <v>IN30023912861937</v>
      </c>
      <c r="B3053" s="1" t="s">
        <v>11123</v>
      </c>
      <c r="C3053" s="1" t="s">
        <v>11124</v>
      </c>
      <c r="D3053" s="1" t="s">
        <v>11118</v>
      </c>
      <c r="E3053" s="1" t="s">
        <v>11125</v>
      </c>
      <c r="F3053" s="1"/>
      <c r="G3053" s="1">
        <v>686540</v>
      </c>
      <c r="H3053" s="1">
        <v>15</v>
      </c>
    </row>
    <row r="3054" spans="1:8" ht="21.75" customHeight="1">
      <c r="A3054" s="1" t="str">
        <f>"IN30023913359317"</f>
        <v>IN30023913359317</v>
      </c>
      <c r="B3054" s="1" t="s">
        <v>11126</v>
      </c>
      <c r="C3054" s="1" t="s">
        <v>11127</v>
      </c>
      <c r="D3054" s="1" t="s">
        <v>11128</v>
      </c>
      <c r="E3054" s="1" t="s">
        <v>11118</v>
      </c>
      <c r="F3054" s="1"/>
      <c r="G3054" s="1">
        <v>686540</v>
      </c>
      <c r="H3054" s="1">
        <v>75</v>
      </c>
    </row>
    <row r="3055" spans="1:8" ht="21.75" customHeight="1">
      <c r="A3055" s="1" t="str">
        <f>"1201090012666010"</f>
        <v>1201090012666010</v>
      </c>
      <c r="B3055" s="1" t="s">
        <v>11129</v>
      </c>
      <c r="C3055" s="1" t="s">
        <v>11130</v>
      </c>
      <c r="D3055" s="1" t="s">
        <v>11131</v>
      </c>
      <c r="E3055" s="1"/>
      <c r="F3055" s="1" t="s">
        <v>59</v>
      </c>
      <c r="G3055" s="1">
        <v>686541</v>
      </c>
      <c r="H3055" s="1">
        <v>3.75</v>
      </c>
    </row>
    <row r="3056" spans="1:8" ht="21.75" customHeight="1">
      <c r="A3056" s="1" t="str">
        <f>"1201090012783996"</f>
        <v>1201090012783996</v>
      </c>
      <c r="B3056" s="1" t="s">
        <v>11132</v>
      </c>
      <c r="C3056" s="1" t="s">
        <v>11133</v>
      </c>
      <c r="D3056" s="1" t="s">
        <v>11134</v>
      </c>
      <c r="E3056" s="1" t="s">
        <v>11135</v>
      </c>
      <c r="F3056" s="1" t="s">
        <v>59</v>
      </c>
      <c r="G3056" s="1">
        <v>686541</v>
      </c>
      <c r="H3056" s="1">
        <v>5.25</v>
      </c>
    </row>
    <row r="3057" spans="1:8" ht="21.75" customHeight="1">
      <c r="A3057" s="1" t="str">
        <f>"1205670000158468"</f>
        <v>1205670000158468</v>
      </c>
      <c r="B3057" s="1" t="s">
        <v>11136</v>
      </c>
      <c r="C3057" s="1" t="s">
        <v>11137</v>
      </c>
      <c r="D3057" s="1" t="s">
        <v>11138</v>
      </c>
      <c r="E3057" s="1" t="s">
        <v>11139</v>
      </c>
      <c r="F3057" s="1" t="s">
        <v>59</v>
      </c>
      <c r="G3057" s="1">
        <v>686543</v>
      </c>
      <c r="H3057" s="1">
        <v>150</v>
      </c>
    </row>
    <row r="3058" spans="1:8" ht="21.75" customHeight="1">
      <c r="A3058" s="1" t="str">
        <f>"IN30189510839664"</f>
        <v>IN30189510839664</v>
      </c>
      <c r="B3058" s="1" t="s">
        <v>11140</v>
      </c>
      <c r="C3058" s="1" t="s">
        <v>11141</v>
      </c>
      <c r="D3058" s="1" t="s">
        <v>11142</v>
      </c>
      <c r="E3058" s="1" t="s">
        <v>11143</v>
      </c>
      <c r="F3058" s="1"/>
      <c r="G3058" s="1">
        <v>686564</v>
      </c>
      <c r="H3058" s="1">
        <v>168.75</v>
      </c>
    </row>
    <row r="3059" spans="1:8" ht="21.75" customHeight="1">
      <c r="A3059" s="1" t="str">
        <f>"1204470005809611"</f>
        <v>1204470005809611</v>
      </c>
      <c r="B3059" s="1" t="s">
        <v>11144</v>
      </c>
      <c r="C3059" s="1" t="s">
        <v>11145</v>
      </c>
      <c r="D3059" s="1" t="s">
        <v>11146</v>
      </c>
      <c r="E3059" s="1"/>
      <c r="F3059" s="1" t="s">
        <v>59</v>
      </c>
      <c r="G3059" s="1">
        <v>686568</v>
      </c>
      <c r="H3059" s="1">
        <v>71.25</v>
      </c>
    </row>
    <row r="3060" spans="1:8" ht="21.75" customHeight="1">
      <c r="A3060" s="1" t="str">
        <f>"1204470005772301"</f>
        <v>1204470005772301</v>
      </c>
      <c r="B3060" s="1" t="s">
        <v>11147</v>
      </c>
      <c r="C3060" s="1" t="s">
        <v>11148</v>
      </c>
      <c r="D3060" s="1"/>
      <c r="E3060" s="1"/>
      <c r="F3060" s="1" t="s">
        <v>59</v>
      </c>
      <c r="G3060" s="1">
        <v>686568</v>
      </c>
      <c r="H3060" s="1">
        <v>24</v>
      </c>
    </row>
    <row r="3061" spans="1:8" ht="21.75" customHeight="1">
      <c r="A3061" s="1" t="str">
        <f>"IN30023910212031"</f>
        <v>IN30023910212031</v>
      </c>
      <c r="B3061" s="1" t="s">
        <v>11149</v>
      </c>
      <c r="C3061" s="1" t="s">
        <v>11150</v>
      </c>
      <c r="D3061" s="1" t="s">
        <v>11151</v>
      </c>
      <c r="E3061" s="1" t="s">
        <v>11152</v>
      </c>
      <c r="F3061" s="1"/>
      <c r="G3061" s="1">
        <v>686572</v>
      </c>
      <c r="H3061" s="1">
        <v>36.75</v>
      </c>
    </row>
    <row r="3062" spans="1:8" ht="21.75" customHeight="1">
      <c r="A3062" s="1" t="str">
        <f>"1204760000166382"</f>
        <v>1204760000166382</v>
      </c>
      <c r="B3062" s="1" t="s">
        <v>11153</v>
      </c>
      <c r="C3062" s="1" t="s">
        <v>11154</v>
      </c>
      <c r="D3062" s="1" t="s">
        <v>11155</v>
      </c>
      <c r="E3062" s="1"/>
      <c r="F3062" s="1" t="s">
        <v>59</v>
      </c>
      <c r="G3062" s="1">
        <v>686574</v>
      </c>
      <c r="H3062" s="1">
        <v>0.75</v>
      </c>
    </row>
    <row r="3063" spans="1:8" ht="21.75" customHeight="1">
      <c r="A3063" s="1" t="str">
        <f>"IN30189510288870"</f>
        <v>IN30189510288870</v>
      </c>
      <c r="B3063" s="1" t="s">
        <v>11156</v>
      </c>
      <c r="C3063" s="1" t="s">
        <v>11157</v>
      </c>
      <c r="D3063" s="1" t="s">
        <v>11158</v>
      </c>
      <c r="E3063" s="1" t="s">
        <v>11159</v>
      </c>
      <c r="F3063" s="1"/>
      <c r="G3063" s="1">
        <v>686574</v>
      </c>
      <c r="H3063" s="1">
        <v>112.5</v>
      </c>
    </row>
    <row r="3064" spans="1:8" ht="21.75" customHeight="1">
      <c r="A3064" s="1" t="str">
        <f>"IN30051315076252"</f>
        <v>IN30051315076252</v>
      </c>
      <c r="B3064" s="1" t="s">
        <v>11160</v>
      </c>
      <c r="C3064" s="1" t="s">
        <v>11161</v>
      </c>
      <c r="D3064" s="1" t="s">
        <v>11162</v>
      </c>
      <c r="E3064" s="1" t="s">
        <v>5462</v>
      </c>
      <c r="F3064" s="1"/>
      <c r="G3064" s="1">
        <v>686575</v>
      </c>
      <c r="H3064" s="1">
        <v>695.25</v>
      </c>
    </row>
    <row r="3065" spans="1:8" ht="21.75" customHeight="1">
      <c r="A3065" s="1" t="str">
        <f>"1203350001805784"</f>
        <v>1203350001805784</v>
      </c>
      <c r="B3065" s="1" t="s">
        <v>11163</v>
      </c>
      <c r="C3065" s="1" t="s">
        <v>11164</v>
      </c>
      <c r="D3065" s="1" t="s">
        <v>11165</v>
      </c>
      <c r="E3065" s="1" t="s">
        <v>11166</v>
      </c>
      <c r="F3065" s="1" t="s">
        <v>11167</v>
      </c>
      <c r="G3065" s="1">
        <v>686576</v>
      </c>
      <c r="H3065" s="1">
        <v>37.5</v>
      </c>
    </row>
    <row r="3066" spans="1:8" ht="21.75" customHeight="1">
      <c r="A3066" s="1" t="str">
        <f>"IN30039413281229"</f>
        <v>IN30039413281229</v>
      </c>
      <c r="B3066" s="1" t="s">
        <v>11168</v>
      </c>
      <c r="C3066" s="1" t="s">
        <v>11169</v>
      </c>
      <c r="D3066" s="1" t="s">
        <v>11170</v>
      </c>
      <c r="E3066" s="1" t="s">
        <v>11171</v>
      </c>
      <c r="F3066" s="1"/>
      <c r="G3066" s="1">
        <v>686578</v>
      </c>
      <c r="H3066" s="1">
        <v>0.75</v>
      </c>
    </row>
    <row r="3067" spans="1:8" ht="21.75" customHeight="1">
      <c r="A3067" s="1" t="str">
        <f>"IN30023912984273"</f>
        <v>IN30023912984273</v>
      </c>
      <c r="B3067" s="1" t="s">
        <v>11172</v>
      </c>
      <c r="C3067" s="1" t="s">
        <v>11173</v>
      </c>
      <c r="D3067" s="1" t="s">
        <v>11174</v>
      </c>
      <c r="E3067" s="1" t="s">
        <v>11175</v>
      </c>
      <c r="F3067" s="1"/>
      <c r="G3067" s="1">
        <v>686580</v>
      </c>
      <c r="H3067" s="1">
        <v>0.75</v>
      </c>
    </row>
    <row r="3068" spans="1:8" ht="21.75" customHeight="1">
      <c r="A3068" s="1" t="str">
        <f>"1202980000254106"</f>
        <v>1202980000254106</v>
      </c>
      <c r="B3068" s="1" t="s">
        <v>11176</v>
      </c>
      <c r="C3068" s="1" t="s">
        <v>11177</v>
      </c>
      <c r="D3068" s="1" t="s">
        <v>11178</v>
      </c>
      <c r="E3068" s="1"/>
      <c r="F3068" s="1" t="s">
        <v>59</v>
      </c>
      <c r="G3068" s="1">
        <v>686584</v>
      </c>
      <c r="H3068" s="1">
        <v>105</v>
      </c>
    </row>
    <row r="3069" spans="1:8" ht="21.75" customHeight="1">
      <c r="A3069" s="1" t="str">
        <f>"IN30023912509774"</f>
        <v>IN30023912509774</v>
      </c>
      <c r="B3069" s="1" t="s">
        <v>11179</v>
      </c>
      <c r="C3069" s="1" t="s">
        <v>11180</v>
      </c>
      <c r="D3069" s="1" t="s">
        <v>11181</v>
      </c>
      <c r="E3069" s="1" t="s">
        <v>11182</v>
      </c>
      <c r="F3069" s="1"/>
      <c r="G3069" s="1">
        <v>686586</v>
      </c>
      <c r="H3069" s="1">
        <v>18.75</v>
      </c>
    </row>
    <row r="3070" spans="1:8" ht="21.75" customHeight="1">
      <c r="A3070" s="1" t="str">
        <f>"IN30023914089393"</f>
        <v>IN30023914089393</v>
      </c>
      <c r="B3070" s="1" t="s">
        <v>11183</v>
      </c>
      <c r="C3070" s="1" t="s">
        <v>11096</v>
      </c>
      <c r="D3070" s="1" t="s">
        <v>11184</v>
      </c>
      <c r="E3070" s="1" t="s">
        <v>11185</v>
      </c>
      <c r="F3070" s="1"/>
      <c r="G3070" s="1">
        <v>686590</v>
      </c>
      <c r="H3070" s="1">
        <v>15</v>
      </c>
    </row>
    <row r="3071" spans="1:8" ht="21.75" customHeight="1">
      <c r="A3071" s="1" t="str">
        <f>"IN30023913189718"</f>
        <v>IN30023913189718</v>
      </c>
      <c r="B3071" s="1" t="s">
        <v>11186</v>
      </c>
      <c r="C3071" s="1" t="s">
        <v>11187</v>
      </c>
      <c r="D3071" s="1" t="s">
        <v>11188</v>
      </c>
      <c r="E3071" s="1" t="s">
        <v>11189</v>
      </c>
      <c r="F3071" s="1"/>
      <c r="G3071" s="1">
        <v>686597</v>
      </c>
      <c r="H3071" s="1">
        <v>311.25</v>
      </c>
    </row>
    <row r="3072" spans="1:8" ht="21.75" customHeight="1">
      <c r="A3072" s="1" t="str">
        <f>"1201090012865213"</f>
        <v>1201090012865213</v>
      </c>
      <c r="B3072" s="1" t="s">
        <v>11190</v>
      </c>
      <c r="C3072" s="1" t="s">
        <v>11191</v>
      </c>
      <c r="D3072" s="1" t="s">
        <v>11192</v>
      </c>
      <c r="E3072" s="1"/>
      <c r="F3072" s="1" t="s">
        <v>59</v>
      </c>
      <c r="G3072" s="1">
        <v>686606</v>
      </c>
      <c r="H3072" s="1">
        <v>174</v>
      </c>
    </row>
    <row r="3073" spans="1:8" ht="21.75" customHeight="1">
      <c r="A3073" s="1" t="str">
        <f>"1201090012815691"</f>
        <v>1201090012815691</v>
      </c>
      <c r="B3073" s="1" t="s">
        <v>11193</v>
      </c>
      <c r="C3073" s="1" t="s">
        <v>11194</v>
      </c>
      <c r="D3073" s="1" t="s">
        <v>11195</v>
      </c>
      <c r="E3073" s="1"/>
      <c r="F3073" s="1" t="s">
        <v>59</v>
      </c>
      <c r="G3073" s="1">
        <v>686607</v>
      </c>
      <c r="H3073" s="1">
        <v>44.25</v>
      </c>
    </row>
    <row r="3074" spans="1:8" ht="21.75" customHeight="1">
      <c r="A3074" s="1" t="str">
        <f>"1203350000725359"</f>
        <v>1203350000725359</v>
      </c>
      <c r="B3074" s="1" t="s">
        <v>11196</v>
      </c>
      <c r="C3074" s="1" t="s">
        <v>11197</v>
      </c>
      <c r="D3074" s="1" t="s">
        <v>11198</v>
      </c>
      <c r="E3074" s="1" t="s">
        <v>11199</v>
      </c>
      <c r="F3074" s="1" t="s">
        <v>59</v>
      </c>
      <c r="G3074" s="1">
        <v>686610</v>
      </c>
      <c r="H3074" s="1">
        <v>39</v>
      </c>
    </row>
    <row r="3075" spans="1:8" ht="21.75" customHeight="1">
      <c r="A3075" s="1" t="str">
        <f>"IN30163741119000"</f>
        <v>IN30163741119000</v>
      </c>
      <c r="B3075" s="1" t="s">
        <v>11200</v>
      </c>
      <c r="C3075" s="1" t="s">
        <v>11201</v>
      </c>
      <c r="D3075" s="1" t="s">
        <v>11202</v>
      </c>
      <c r="E3075" s="1" t="s">
        <v>11203</v>
      </c>
      <c r="F3075" s="1"/>
      <c r="G3075" s="1">
        <v>686610</v>
      </c>
      <c r="H3075" s="1">
        <v>7.5</v>
      </c>
    </row>
    <row r="3076" spans="1:8" ht="21.75" customHeight="1">
      <c r="A3076" s="1" t="str">
        <f>"1201090012801159"</f>
        <v>1201090012801159</v>
      </c>
      <c r="B3076" s="1" t="s">
        <v>11204</v>
      </c>
      <c r="C3076" s="1" t="s">
        <v>11205</v>
      </c>
      <c r="D3076" s="1" t="s">
        <v>11206</v>
      </c>
      <c r="E3076" s="1" t="s">
        <v>11207</v>
      </c>
      <c r="F3076" s="1" t="s">
        <v>59</v>
      </c>
      <c r="G3076" s="1">
        <v>686612</v>
      </c>
      <c r="H3076" s="1">
        <v>68.25</v>
      </c>
    </row>
    <row r="3077" spans="1:8" ht="21.75" customHeight="1">
      <c r="A3077" s="1" t="str">
        <f>"IN30226912194860"</f>
        <v>IN30226912194860</v>
      </c>
      <c r="B3077" s="1" t="s">
        <v>11208</v>
      </c>
      <c r="C3077" s="1" t="s">
        <v>11209</v>
      </c>
      <c r="D3077" s="1" t="s">
        <v>11210</v>
      </c>
      <c r="E3077" s="1" t="s">
        <v>11211</v>
      </c>
      <c r="F3077" s="1"/>
      <c r="G3077" s="1">
        <v>686632</v>
      </c>
      <c r="H3077" s="1">
        <v>375</v>
      </c>
    </row>
    <row r="3078" spans="1:8" ht="21.75" customHeight="1">
      <c r="A3078" s="1" t="str">
        <f>"1203350000368689"</f>
        <v>1203350000368689</v>
      </c>
      <c r="B3078" s="1" t="s">
        <v>11212</v>
      </c>
      <c r="C3078" s="1" t="s">
        <v>11213</v>
      </c>
      <c r="D3078" s="1" t="s">
        <v>11214</v>
      </c>
      <c r="E3078" s="1"/>
      <c r="F3078" s="1" t="s">
        <v>64</v>
      </c>
      <c r="G3078" s="1">
        <v>686633</v>
      </c>
      <c r="H3078" s="1">
        <v>159</v>
      </c>
    </row>
    <row r="3079" spans="1:8" ht="21.75" customHeight="1">
      <c r="A3079" s="1" t="str">
        <f>"IN30023910444722"</f>
        <v>IN30023910444722</v>
      </c>
      <c r="B3079" s="1" t="s">
        <v>11215</v>
      </c>
      <c r="C3079" s="1" t="s">
        <v>11216</v>
      </c>
      <c r="D3079" s="1" t="s">
        <v>11217</v>
      </c>
      <c r="E3079" s="1" t="s">
        <v>11218</v>
      </c>
      <c r="F3079" s="1"/>
      <c r="G3079" s="1">
        <v>686633</v>
      </c>
      <c r="H3079" s="1">
        <v>7.5</v>
      </c>
    </row>
    <row r="3080" spans="1:8" ht="21.75" customHeight="1">
      <c r="A3080" s="1" t="str">
        <f>"IN30023913091679"</f>
        <v>IN30023913091679</v>
      </c>
      <c r="B3080" s="1" t="s">
        <v>11219</v>
      </c>
      <c r="C3080" s="1" t="s">
        <v>11220</v>
      </c>
      <c r="D3080" s="1" t="s">
        <v>11221</v>
      </c>
      <c r="E3080" s="1" t="s">
        <v>11222</v>
      </c>
      <c r="F3080" s="1"/>
      <c r="G3080" s="1">
        <v>686634</v>
      </c>
      <c r="H3080" s="1">
        <v>45</v>
      </c>
    </row>
    <row r="3081" spans="1:8" ht="21.75" customHeight="1">
      <c r="A3081" s="1" t="str">
        <f>"1203350001089218"</f>
        <v>1203350001089218</v>
      </c>
      <c r="B3081" s="1" t="s">
        <v>11223</v>
      </c>
      <c r="C3081" s="1" t="s">
        <v>11224</v>
      </c>
      <c r="D3081" s="1" t="s">
        <v>11225</v>
      </c>
      <c r="E3081" s="1"/>
      <c r="F3081" s="1" t="s">
        <v>59</v>
      </c>
      <c r="G3081" s="1">
        <v>686636</v>
      </c>
      <c r="H3081" s="1">
        <v>75</v>
      </c>
    </row>
    <row r="3082" spans="1:8" ht="21.75" customHeight="1">
      <c r="A3082" s="1" t="str">
        <f>"IN30189510254847"</f>
        <v>IN30189510254847</v>
      </c>
      <c r="B3082" s="1" t="s">
        <v>11226</v>
      </c>
      <c r="C3082" s="1" t="s">
        <v>11227</v>
      </c>
      <c r="D3082" s="1" t="s">
        <v>11228</v>
      </c>
      <c r="E3082" s="1" t="s">
        <v>11229</v>
      </c>
      <c r="F3082" s="1"/>
      <c r="G3082" s="1">
        <v>686661</v>
      </c>
      <c r="H3082" s="1">
        <v>150</v>
      </c>
    </row>
    <row r="3083" spans="1:8" ht="21.75" customHeight="1">
      <c r="A3083" s="1" t="str">
        <f>"1202390000358462"</f>
        <v>1202390000358462</v>
      </c>
      <c r="B3083" s="1" t="s">
        <v>11230</v>
      </c>
      <c r="C3083" s="1" t="s">
        <v>11231</v>
      </c>
      <c r="D3083" s="1" t="s">
        <v>11232</v>
      </c>
      <c r="E3083" s="1"/>
      <c r="F3083" s="1" t="s">
        <v>594</v>
      </c>
      <c r="G3083" s="1">
        <v>686664</v>
      </c>
      <c r="H3083" s="1">
        <v>0.75</v>
      </c>
    </row>
    <row r="3084" spans="1:8" ht="21.75" customHeight="1">
      <c r="A3084" s="1" t="str">
        <f>"1201330000486381"</f>
        <v>1201330000486381</v>
      </c>
      <c r="B3084" s="1" t="s">
        <v>11233</v>
      </c>
      <c r="C3084" s="1" t="s">
        <v>11234</v>
      </c>
      <c r="D3084" s="1" t="s">
        <v>11235</v>
      </c>
      <c r="E3084" s="1" t="s">
        <v>6199</v>
      </c>
      <c r="F3084" s="1" t="s">
        <v>6199</v>
      </c>
      <c r="G3084" s="1">
        <v>686667</v>
      </c>
      <c r="H3084" s="1">
        <v>444.75</v>
      </c>
    </row>
    <row r="3085" spans="1:8" ht="21.75" customHeight="1">
      <c r="A3085" s="1" t="str">
        <f>"IN30023910501874"</f>
        <v>IN30023910501874</v>
      </c>
      <c r="B3085" s="1" t="s">
        <v>11236</v>
      </c>
      <c r="C3085" s="1" t="s">
        <v>11237</v>
      </c>
      <c r="D3085" s="1" t="s">
        <v>11238</v>
      </c>
      <c r="E3085" s="1" t="s">
        <v>11239</v>
      </c>
      <c r="F3085" s="1"/>
      <c r="G3085" s="1">
        <v>686670</v>
      </c>
      <c r="H3085" s="1">
        <v>1.5</v>
      </c>
    </row>
    <row r="3086" spans="1:8" ht="21.75" customHeight="1">
      <c r="A3086" s="1" t="str">
        <f>"1204470005884525"</f>
        <v>1204470005884525</v>
      </c>
      <c r="B3086" s="1" t="s">
        <v>11240</v>
      </c>
      <c r="C3086" s="1" t="s">
        <v>11241</v>
      </c>
      <c r="D3086" s="1" t="s">
        <v>11242</v>
      </c>
      <c r="E3086" s="1"/>
      <c r="F3086" s="1" t="s">
        <v>5492</v>
      </c>
      <c r="G3086" s="1">
        <v>686671</v>
      </c>
      <c r="H3086" s="1">
        <v>72.75</v>
      </c>
    </row>
    <row r="3087" spans="1:8" ht="21.75" customHeight="1">
      <c r="A3087" s="1" t="str">
        <f>"IN30189510793855"</f>
        <v>IN30189510793855</v>
      </c>
      <c r="B3087" s="1" t="s">
        <v>11243</v>
      </c>
      <c r="C3087" s="1" t="s">
        <v>11244</v>
      </c>
      <c r="D3087" s="1" t="s">
        <v>11245</v>
      </c>
      <c r="E3087" s="1" t="s">
        <v>11246</v>
      </c>
      <c r="F3087" s="1"/>
      <c r="G3087" s="1">
        <v>686671</v>
      </c>
      <c r="H3087" s="1">
        <v>37.5</v>
      </c>
    </row>
    <row r="3088" spans="1:8" ht="21.75" customHeight="1">
      <c r="A3088" s="1" t="str">
        <f>"1204720010794120"</f>
        <v>1204720010794120</v>
      </c>
      <c r="B3088" s="1" t="s">
        <v>11247</v>
      </c>
      <c r="C3088" s="1" t="s">
        <v>11248</v>
      </c>
      <c r="D3088" s="1" t="s">
        <v>11249</v>
      </c>
      <c r="E3088" s="1" t="s">
        <v>11250</v>
      </c>
      <c r="F3088" s="1" t="s">
        <v>54</v>
      </c>
      <c r="G3088" s="1">
        <v>686673</v>
      </c>
      <c r="H3088" s="1">
        <v>18.75</v>
      </c>
    </row>
    <row r="3089" spans="1:8" ht="21.75" customHeight="1">
      <c r="A3089" s="1" t="str">
        <f>"IN30189510866177"</f>
        <v>IN30189510866177</v>
      </c>
      <c r="B3089" s="1" t="s">
        <v>11251</v>
      </c>
      <c r="C3089" s="1" t="s">
        <v>11252</v>
      </c>
      <c r="D3089" s="1" t="s">
        <v>11253</v>
      </c>
      <c r="E3089" s="1" t="s">
        <v>11229</v>
      </c>
      <c r="F3089" s="1"/>
      <c r="G3089" s="1">
        <v>686673</v>
      </c>
      <c r="H3089" s="1">
        <v>7.5</v>
      </c>
    </row>
    <row r="3090" spans="1:8" ht="21.75" customHeight="1">
      <c r="A3090" s="1" t="str">
        <f>"1204470004236288"</f>
        <v>1204470004236288</v>
      </c>
      <c r="B3090" s="1" t="s">
        <v>11254</v>
      </c>
      <c r="C3090" s="1" t="s">
        <v>11255</v>
      </c>
      <c r="D3090" s="1" t="s">
        <v>11256</v>
      </c>
      <c r="E3090" s="1"/>
      <c r="F3090" s="1" t="s">
        <v>54</v>
      </c>
      <c r="G3090" s="1">
        <v>686673</v>
      </c>
      <c r="H3090" s="1">
        <v>112.5</v>
      </c>
    </row>
    <row r="3091" spans="1:8" ht="21.75" customHeight="1">
      <c r="A3091" s="1" t="str">
        <f>"IN30039417276229"</f>
        <v>IN30039417276229</v>
      </c>
      <c r="B3091" s="1" t="s">
        <v>11257</v>
      </c>
      <c r="C3091" s="1" t="s">
        <v>11258</v>
      </c>
      <c r="D3091" s="1" t="s">
        <v>11259</v>
      </c>
      <c r="E3091" s="1" t="s">
        <v>11260</v>
      </c>
      <c r="F3091" s="1"/>
      <c r="G3091" s="1">
        <v>686673</v>
      </c>
      <c r="H3091" s="1">
        <v>9.75</v>
      </c>
    </row>
    <row r="3092" spans="1:8" ht="21.75" customHeight="1">
      <c r="A3092" s="1" t="str">
        <f>"IN30023913051809"</f>
        <v>IN30023913051809</v>
      </c>
      <c r="B3092" s="1" t="s">
        <v>11261</v>
      </c>
      <c r="C3092" s="1" t="s">
        <v>11262</v>
      </c>
      <c r="D3092" s="1" t="s">
        <v>11263</v>
      </c>
      <c r="E3092" s="1" t="s">
        <v>5496</v>
      </c>
      <c r="F3092" s="1"/>
      <c r="G3092" s="1">
        <v>686691</v>
      </c>
      <c r="H3092" s="1">
        <v>57</v>
      </c>
    </row>
    <row r="3093" spans="1:8" ht="21.75" customHeight="1">
      <c r="A3093" s="1" t="str">
        <f>"IN30051318367316"</f>
        <v>IN30051318367316</v>
      </c>
      <c r="B3093" s="1" t="s">
        <v>11264</v>
      </c>
      <c r="C3093" s="1" t="s">
        <v>11265</v>
      </c>
      <c r="D3093" s="1" t="s">
        <v>11266</v>
      </c>
      <c r="E3093" s="1" t="s">
        <v>5409</v>
      </c>
      <c r="F3093" s="1"/>
      <c r="G3093" s="1">
        <v>686691</v>
      </c>
      <c r="H3093" s="1">
        <v>37.5</v>
      </c>
    </row>
    <row r="3094" spans="1:8" ht="21.75" customHeight="1">
      <c r="A3094" s="1" t="str">
        <f>"IN30023913208207"</f>
        <v>IN30023913208207</v>
      </c>
      <c r="B3094" s="1" t="s">
        <v>11267</v>
      </c>
      <c r="C3094" s="1" t="s">
        <v>11268</v>
      </c>
      <c r="D3094" s="1" t="s">
        <v>11269</v>
      </c>
      <c r="E3094" s="1" t="s">
        <v>10738</v>
      </c>
      <c r="F3094" s="1"/>
      <c r="G3094" s="1">
        <v>686693</v>
      </c>
      <c r="H3094" s="1">
        <v>37.5</v>
      </c>
    </row>
    <row r="3095" spans="1:8" ht="21.75" customHeight="1">
      <c r="A3095" s="1" t="str">
        <f>"1204470004390406"</f>
        <v>1204470004390406</v>
      </c>
      <c r="B3095" s="1" t="s">
        <v>11270</v>
      </c>
      <c r="C3095" s="1" t="s">
        <v>11271</v>
      </c>
      <c r="D3095" s="1" t="s">
        <v>11272</v>
      </c>
      <c r="E3095" s="1"/>
      <c r="F3095" s="1" t="s">
        <v>11273</v>
      </c>
      <c r="G3095" s="1">
        <v>686730</v>
      </c>
      <c r="H3095" s="1">
        <v>0.75</v>
      </c>
    </row>
    <row r="3096" spans="1:8" ht="21.75" customHeight="1">
      <c r="A3096" s="1" t="str">
        <f>"IN30177413997770"</f>
        <v>IN30177413997770</v>
      </c>
      <c r="B3096" s="1" t="s">
        <v>11274</v>
      </c>
      <c r="C3096" s="1" t="s">
        <v>11275</v>
      </c>
      <c r="D3096" s="1" t="s">
        <v>11276</v>
      </c>
      <c r="E3096" s="1" t="s">
        <v>11277</v>
      </c>
      <c r="F3096" s="1"/>
      <c r="G3096" s="1">
        <v>688003</v>
      </c>
      <c r="H3096" s="1">
        <v>3</v>
      </c>
    </row>
    <row r="3097" spans="1:8" ht="21.75" customHeight="1">
      <c r="A3097" s="1" t="str">
        <f>"1202390000304849"</f>
        <v>1202390000304849</v>
      </c>
      <c r="B3097" s="1" t="s">
        <v>11278</v>
      </c>
      <c r="C3097" s="1" t="s">
        <v>11279</v>
      </c>
      <c r="D3097" s="1" t="s">
        <v>11280</v>
      </c>
      <c r="E3097" s="1" t="s">
        <v>11281</v>
      </c>
      <c r="F3097" s="1" t="s">
        <v>5497</v>
      </c>
      <c r="G3097" s="1">
        <v>688003</v>
      </c>
      <c r="H3097" s="1">
        <v>75</v>
      </c>
    </row>
    <row r="3098" spans="1:8" ht="21.75" customHeight="1">
      <c r="A3098" s="1" t="str">
        <f>"IN30177414177668"</f>
        <v>IN30177414177668</v>
      </c>
      <c r="B3098" s="1" t="s">
        <v>11282</v>
      </c>
      <c r="C3098" s="1" t="s">
        <v>11283</v>
      </c>
      <c r="D3098" s="1" t="s">
        <v>11284</v>
      </c>
      <c r="E3098" s="1" t="s">
        <v>11285</v>
      </c>
      <c r="F3098" s="1"/>
      <c r="G3098" s="1">
        <v>688003</v>
      </c>
      <c r="H3098" s="1">
        <v>138</v>
      </c>
    </row>
    <row r="3099" spans="1:8" ht="21.75" customHeight="1">
      <c r="A3099" s="1" t="str">
        <f>"1203440000333507"</f>
        <v>1203440000333507</v>
      </c>
      <c r="B3099" s="1" t="s">
        <v>11286</v>
      </c>
      <c r="C3099" s="1" t="s">
        <v>11287</v>
      </c>
      <c r="D3099" s="1" t="s">
        <v>11288</v>
      </c>
      <c r="E3099" s="1" t="s">
        <v>11289</v>
      </c>
      <c r="F3099" s="1" t="s">
        <v>11289</v>
      </c>
      <c r="G3099" s="1">
        <v>688004</v>
      </c>
      <c r="H3099" s="1">
        <v>1.5</v>
      </c>
    </row>
    <row r="3100" spans="1:8" ht="21.75" customHeight="1">
      <c r="A3100" s="1" t="str">
        <f>"IN30163740868462"</f>
        <v>IN30163740868462</v>
      </c>
      <c r="B3100" s="1" t="s">
        <v>11290</v>
      </c>
      <c r="C3100" s="1" t="s">
        <v>11291</v>
      </c>
      <c r="D3100" s="1" t="s">
        <v>11292</v>
      </c>
      <c r="E3100" s="1" t="s">
        <v>11293</v>
      </c>
      <c r="F3100" s="1"/>
      <c r="G3100" s="1">
        <v>688004</v>
      </c>
      <c r="H3100" s="1">
        <v>7.5</v>
      </c>
    </row>
    <row r="3101" spans="1:8" ht="21.75" customHeight="1">
      <c r="A3101" s="1" t="str">
        <f>"IN30051317770198"</f>
        <v>IN30051317770198</v>
      </c>
      <c r="B3101" s="1" t="s">
        <v>11294</v>
      </c>
      <c r="C3101" s="1" t="s">
        <v>11295</v>
      </c>
      <c r="D3101" s="1" t="s">
        <v>11296</v>
      </c>
      <c r="E3101" s="1" t="s">
        <v>11297</v>
      </c>
      <c r="F3101" s="1"/>
      <c r="G3101" s="1">
        <v>688004</v>
      </c>
      <c r="H3101" s="1">
        <v>307.5</v>
      </c>
    </row>
    <row r="3102" spans="1:8" ht="21.75" customHeight="1">
      <c r="A3102" s="1" t="str">
        <f>"1204470003672580"</f>
        <v>1204470003672580</v>
      </c>
      <c r="B3102" s="1" t="s">
        <v>5425</v>
      </c>
      <c r="C3102" s="1" t="s">
        <v>11298</v>
      </c>
      <c r="D3102" s="1" t="s">
        <v>11299</v>
      </c>
      <c r="E3102" s="1"/>
      <c r="F3102" s="1" t="s">
        <v>5497</v>
      </c>
      <c r="G3102" s="1">
        <v>688006</v>
      </c>
      <c r="H3102" s="1">
        <v>75</v>
      </c>
    </row>
    <row r="3103" spans="1:8" ht="21.75" customHeight="1">
      <c r="A3103" s="1" t="str">
        <f>"IN30023913348495"</f>
        <v>IN30023913348495</v>
      </c>
      <c r="B3103" s="1" t="s">
        <v>11300</v>
      </c>
      <c r="C3103" s="1" t="s">
        <v>11301</v>
      </c>
      <c r="D3103" s="1" t="s">
        <v>11302</v>
      </c>
      <c r="E3103" s="1" t="s">
        <v>5497</v>
      </c>
      <c r="F3103" s="1"/>
      <c r="G3103" s="1">
        <v>688008</v>
      </c>
      <c r="H3103" s="1">
        <v>7.5</v>
      </c>
    </row>
    <row r="3104" spans="1:8" ht="21.75" customHeight="1">
      <c r="A3104" s="1" t="str">
        <f>"1202980000186598"</f>
        <v>1202980000186598</v>
      </c>
      <c r="B3104" s="1" t="s">
        <v>11303</v>
      </c>
      <c r="C3104" s="1" t="s">
        <v>11304</v>
      </c>
      <c r="D3104" s="1" t="s">
        <v>11305</v>
      </c>
      <c r="E3104" s="1"/>
      <c r="F3104" s="1" t="s">
        <v>5497</v>
      </c>
      <c r="G3104" s="1">
        <v>688512</v>
      </c>
      <c r="H3104" s="1">
        <v>580.5</v>
      </c>
    </row>
    <row r="3105" spans="1:8" ht="21.75" customHeight="1">
      <c r="A3105" s="1" t="str">
        <f>"IN30023912160994"</f>
        <v>IN30023912160994</v>
      </c>
      <c r="B3105" s="1" t="s">
        <v>11306</v>
      </c>
      <c r="C3105" s="1" t="s">
        <v>9415</v>
      </c>
      <c r="D3105" s="1" t="s">
        <v>11307</v>
      </c>
      <c r="E3105" s="1" t="s">
        <v>5497</v>
      </c>
      <c r="F3105" s="1"/>
      <c r="G3105" s="1">
        <v>688521</v>
      </c>
      <c r="H3105" s="1">
        <v>75</v>
      </c>
    </row>
    <row r="3106" spans="1:8" ht="21.75" customHeight="1">
      <c r="A3106" s="1" t="str">
        <f>"IN30177416313421"</f>
        <v>IN30177416313421</v>
      </c>
      <c r="B3106" s="1" t="s">
        <v>11308</v>
      </c>
      <c r="C3106" s="1" t="s">
        <v>11309</v>
      </c>
      <c r="D3106" s="1" t="s">
        <v>11310</v>
      </c>
      <c r="E3106" s="1" t="s">
        <v>11311</v>
      </c>
      <c r="F3106" s="1"/>
      <c r="G3106" s="1">
        <v>688522</v>
      </c>
      <c r="H3106" s="1">
        <v>126</v>
      </c>
    </row>
    <row r="3107" spans="1:8" ht="21.75" customHeight="1">
      <c r="A3107" s="1" t="str">
        <f>"1203350000816594"</f>
        <v>1203350000816594</v>
      </c>
      <c r="B3107" s="1" t="s">
        <v>11312</v>
      </c>
      <c r="C3107" s="1" t="s">
        <v>11313</v>
      </c>
      <c r="D3107" s="1" t="s">
        <v>11314</v>
      </c>
      <c r="E3107" s="1"/>
      <c r="F3107" s="1" t="s">
        <v>5501</v>
      </c>
      <c r="G3107" s="1">
        <v>688524</v>
      </c>
      <c r="H3107" s="1">
        <v>48</v>
      </c>
    </row>
    <row r="3108" spans="1:8" ht="21.75" customHeight="1">
      <c r="A3108" s="1" t="str">
        <f>"IN30189510921827"</f>
        <v>IN30189510921827</v>
      </c>
      <c r="B3108" s="1" t="s">
        <v>11315</v>
      </c>
      <c r="C3108" s="1" t="s">
        <v>11316</v>
      </c>
      <c r="D3108" s="1" t="s">
        <v>11317</v>
      </c>
      <c r="E3108" s="1" t="s">
        <v>11318</v>
      </c>
      <c r="F3108" s="1"/>
      <c r="G3108" s="1">
        <v>688524</v>
      </c>
      <c r="H3108" s="1">
        <v>12.75</v>
      </c>
    </row>
    <row r="3109" spans="1:8" ht="21.75" customHeight="1">
      <c r="A3109" s="1" t="str">
        <f>"IN30189510649968"</f>
        <v>IN30189510649968</v>
      </c>
      <c r="B3109" s="1" t="s">
        <v>11319</v>
      </c>
      <c r="C3109" s="1" t="s">
        <v>11320</v>
      </c>
      <c r="D3109" s="1" t="s">
        <v>11321</v>
      </c>
      <c r="E3109" s="1" t="s">
        <v>11318</v>
      </c>
      <c r="F3109" s="1"/>
      <c r="G3109" s="1">
        <v>688524</v>
      </c>
      <c r="H3109" s="1">
        <v>825</v>
      </c>
    </row>
    <row r="3110" spans="1:8" ht="21.75" customHeight="1">
      <c r="A3110" s="1" t="str">
        <f>"IN30023911445819"</f>
        <v>IN30023911445819</v>
      </c>
      <c r="B3110" s="1" t="s">
        <v>11322</v>
      </c>
      <c r="C3110" s="1" t="s">
        <v>11323</v>
      </c>
      <c r="D3110" s="1" t="s">
        <v>11324</v>
      </c>
      <c r="E3110" s="1" t="s">
        <v>11325</v>
      </c>
      <c r="F3110" s="1"/>
      <c r="G3110" s="1">
        <v>688524</v>
      </c>
      <c r="H3110" s="1">
        <v>3.75</v>
      </c>
    </row>
    <row r="3111" spans="1:8" ht="21.75" customHeight="1">
      <c r="A3111" s="1" t="str">
        <f>"IN30023911876935"</f>
        <v>IN30023911876935</v>
      </c>
      <c r="B3111" s="1" t="s">
        <v>11327</v>
      </c>
      <c r="C3111" s="1" t="s">
        <v>11328</v>
      </c>
      <c r="D3111" s="1" t="s">
        <v>11329</v>
      </c>
      <c r="E3111" s="1" t="s">
        <v>5497</v>
      </c>
      <c r="F3111" s="1"/>
      <c r="G3111" s="1">
        <v>688525</v>
      </c>
      <c r="H3111" s="1">
        <v>27</v>
      </c>
    </row>
    <row r="3112" spans="1:8" ht="21.75" customHeight="1">
      <c r="A3112" s="1" t="str">
        <f>"1201090012645260"</f>
        <v>1201090012645260</v>
      </c>
      <c r="B3112" s="1" t="s">
        <v>11330</v>
      </c>
      <c r="C3112" s="1" t="s">
        <v>11331</v>
      </c>
      <c r="D3112" s="1" t="s">
        <v>11332</v>
      </c>
      <c r="E3112" s="1" t="s">
        <v>11333</v>
      </c>
      <c r="F3112" s="1" t="s">
        <v>5497</v>
      </c>
      <c r="G3112" s="1">
        <v>688527</v>
      </c>
      <c r="H3112" s="1">
        <v>52.5</v>
      </c>
    </row>
    <row r="3113" spans="1:8" ht="21.75" customHeight="1">
      <c r="A3113" s="1" t="str">
        <f>"IN30189510671083"</f>
        <v>IN30189510671083</v>
      </c>
      <c r="B3113" s="1" t="s">
        <v>11334</v>
      </c>
      <c r="C3113" s="1" t="s">
        <v>11335</v>
      </c>
      <c r="D3113" s="1" t="s">
        <v>11336</v>
      </c>
      <c r="E3113" s="1" t="s">
        <v>11337</v>
      </c>
      <c r="F3113" s="1"/>
      <c r="G3113" s="1">
        <v>688528</v>
      </c>
      <c r="H3113" s="1">
        <v>11.25</v>
      </c>
    </row>
    <row r="3114" spans="1:8" ht="21.75" customHeight="1">
      <c r="A3114" s="1" t="str">
        <f>"1204760000199199"</f>
        <v>1204760000199199</v>
      </c>
      <c r="B3114" s="1" t="s">
        <v>11338</v>
      </c>
      <c r="C3114" s="1" t="s">
        <v>11339</v>
      </c>
      <c r="D3114" s="1" t="s">
        <v>11340</v>
      </c>
      <c r="E3114" s="1" t="s">
        <v>11341</v>
      </c>
      <c r="F3114" s="1" t="s">
        <v>5497</v>
      </c>
      <c r="G3114" s="1">
        <v>688531</v>
      </c>
      <c r="H3114" s="1">
        <v>150</v>
      </c>
    </row>
    <row r="3115" spans="1:8" ht="21.75" customHeight="1">
      <c r="A3115" s="1" t="str">
        <f>"IN30189510393003"</f>
        <v>IN30189510393003</v>
      </c>
      <c r="B3115" s="1" t="s">
        <v>11342</v>
      </c>
      <c r="C3115" s="1" t="s">
        <v>11343</v>
      </c>
      <c r="D3115" s="1" t="s">
        <v>11344</v>
      </c>
      <c r="E3115" s="1" t="s">
        <v>11345</v>
      </c>
      <c r="F3115" s="1"/>
      <c r="G3115" s="1">
        <v>688534</v>
      </c>
      <c r="H3115" s="1">
        <v>75</v>
      </c>
    </row>
    <row r="3116" spans="1:8" ht="21.75" customHeight="1">
      <c r="A3116" s="1" t="str">
        <f>"IN30177414186105"</f>
        <v>IN30177414186105</v>
      </c>
      <c r="B3116" s="1" t="s">
        <v>11346</v>
      </c>
      <c r="C3116" s="1" t="s">
        <v>11347</v>
      </c>
      <c r="D3116" s="1" t="s">
        <v>11348</v>
      </c>
      <c r="E3116" s="1" t="s">
        <v>11349</v>
      </c>
      <c r="F3116" s="1"/>
      <c r="G3116" s="1">
        <v>688546</v>
      </c>
      <c r="H3116" s="1">
        <v>2.25</v>
      </c>
    </row>
    <row r="3117" spans="1:8" ht="21.75" customHeight="1">
      <c r="A3117" s="1" t="str">
        <f>"IN30177416424813"</f>
        <v>IN30177416424813</v>
      </c>
      <c r="B3117" s="1" t="s">
        <v>11350</v>
      </c>
      <c r="C3117" s="1" t="s">
        <v>9393</v>
      </c>
      <c r="D3117" s="1" t="s">
        <v>11351</v>
      </c>
      <c r="E3117" s="1" t="s">
        <v>11352</v>
      </c>
      <c r="F3117" s="1"/>
      <c r="G3117" s="1">
        <v>688555</v>
      </c>
      <c r="H3117" s="1">
        <v>75</v>
      </c>
    </row>
    <row r="3118" spans="1:8" ht="21.75" customHeight="1">
      <c r="A3118" s="1" t="str">
        <f>"IN30023913449806"</f>
        <v>IN30023913449806</v>
      </c>
      <c r="B3118" s="1" t="s">
        <v>11353</v>
      </c>
      <c r="C3118" s="1" t="s">
        <v>11354</v>
      </c>
      <c r="D3118" s="1" t="s">
        <v>11355</v>
      </c>
      <c r="E3118" s="1" t="s">
        <v>11356</v>
      </c>
      <c r="F3118" s="1"/>
      <c r="G3118" s="1">
        <v>688555</v>
      </c>
      <c r="H3118" s="1">
        <v>105</v>
      </c>
    </row>
    <row r="3119" spans="1:8" ht="21.75" customHeight="1">
      <c r="A3119" s="1" t="str">
        <f>"1204470005761591"</f>
        <v>1204470005761591</v>
      </c>
      <c r="B3119" s="1" t="s">
        <v>11357</v>
      </c>
      <c r="C3119" s="1" t="s">
        <v>11358</v>
      </c>
      <c r="D3119" s="1" t="s">
        <v>11359</v>
      </c>
      <c r="E3119" s="1" t="s">
        <v>11360</v>
      </c>
      <c r="F3119" s="1" t="s">
        <v>5497</v>
      </c>
      <c r="G3119" s="1">
        <v>688561</v>
      </c>
      <c r="H3119" s="1">
        <v>19.5</v>
      </c>
    </row>
    <row r="3120" spans="1:8" ht="21.75" customHeight="1">
      <c r="A3120" s="1" t="str">
        <f>"IN30023913066610"</f>
        <v>IN30023913066610</v>
      </c>
      <c r="B3120" s="1" t="s">
        <v>11361</v>
      </c>
      <c r="C3120" s="1" t="s">
        <v>11362</v>
      </c>
      <c r="D3120" s="1" t="s">
        <v>11363</v>
      </c>
      <c r="E3120" s="1" t="s">
        <v>11364</v>
      </c>
      <c r="F3120" s="1"/>
      <c r="G3120" s="1">
        <v>688562</v>
      </c>
      <c r="H3120" s="1">
        <v>75</v>
      </c>
    </row>
    <row r="3121" spans="1:8" ht="21.75" customHeight="1">
      <c r="A3121" s="1" t="str">
        <f>"IN30177414492240"</f>
        <v>IN30177414492240</v>
      </c>
      <c r="B3121" s="1" t="s">
        <v>11365</v>
      </c>
      <c r="C3121" s="1" t="s">
        <v>11366</v>
      </c>
      <c r="D3121" s="1" t="s">
        <v>11367</v>
      </c>
      <c r="E3121" s="1" t="s">
        <v>11368</v>
      </c>
      <c r="F3121" s="1"/>
      <c r="G3121" s="1">
        <v>688562</v>
      </c>
      <c r="H3121" s="1">
        <v>375</v>
      </c>
    </row>
    <row r="3122" spans="1:8" ht="21.75" customHeight="1">
      <c r="A3122" s="1" t="str">
        <f>"1205670000272650"</f>
        <v>1205670000272650</v>
      </c>
      <c r="B3122" s="1" t="s">
        <v>11369</v>
      </c>
      <c r="C3122" s="1" t="s">
        <v>11370</v>
      </c>
      <c r="D3122" s="1" t="s">
        <v>11371</v>
      </c>
      <c r="E3122" s="1"/>
      <c r="F3122" s="1" t="s">
        <v>5428</v>
      </c>
      <c r="G3122" s="1">
        <v>689102</v>
      </c>
      <c r="H3122" s="1">
        <v>562.5</v>
      </c>
    </row>
    <row r="3123" spans="1:8" ht="21.75" customHeight="1">
      <c r="A3123" s="1" t="str">
        <f>"IN30023910265377"</f>
        <v>IN30023910265377</v>
      </c>
      <c r="B3123" s="1" t="s">
        <v>11372</v>
      </c>
      <c r="C3123" s="1" t="s">
        <v>11373</v>
      </c>
      <c r="D3123" s="1" t="s">
        <v>11374</v>
      </c>
      <c r="E3123" s="1" t="s">
        <v>11375</v>
      </c>
      <c r="F3123" s="1"/>
      <c r="G3123" s="1">
        <v>689106</v>
      </c>
      <c r="H3123" s="1">
        <v>75</v>
      </c>
    </row>
    <row r="3124" spans="1:8" ht="21.75" customHeight="1">
      <c r="A3124" s="1" t="str">
        <f>"IN30023913401752"</f>
        <v>IN30023913401752</v>
      </c>
      <c r="B3124" s="1" t="s">
        <v>11376</v>
      </c>
      <c r="C3124" s="1" t="s">
        <v>11377</v>
      </c>
      <c r="D3124" s="1" t="s">
        <v>11378</v>
      </c>
      <c r="E3124" s="1" t="s">
        <v>11379</v>
      </c>
      <c r="F3124" s="1"/>
      <c r="G3124" s="1">
        <v>689108</v>
      </c>
      <c r="H3124" s="1">
        <v>7.5</v>
      </c>
    </row>
    <row r="3125" spans="1:8" ht="21.75" customHeight="1">
      <c r="A3125" s="1" t="str">
        <f>"1201090012847289"</f>
        <v>1201090012847289</v>
      </c>
      <c r="B3125" s="1" t="s">
        <v>11380</v>
      </c>
      <c r="C3125" s="1" t="s">
        <v>11381</v>
      </c>
      <c r="D3125" s="1" t="s">
        <v>11382</v>
      </c>
      <c r="E3125" s="1" t="s">
        <v>11383</v>
      </c>
      <c r="F3125" s="1" t="s">
        <v>470</v>
      </c>
      <c r="G3125" s="1">
        <v>689111</v>
      </c>
      <c r="H3125" s="1">
        <v>41.25</v>
      </c>
    </row>
    <row r="3126" spans="1:8" ht="21.75" customHeight="1">
      <c r="A3126" s="1" t="str">
        <f>"1204470006474846"</f>
        <v>1204470006474846</v>
      </c>
      <c r="B3126" s="1" t="s">
        <v>11384</v>
      </c>
      <c r="C3126" s="1" t="s">
        <v>11385</v>
      </c>
      <c r="D3126" s="1" t="s">
        <v>11386</v>
      </c>
      <c r="E3126" s="1" t="s">
        <v>11387</v>
      </c>
      <c r="F3126" s="1" t="s">
        <v>11388</v>
      </c>
      <c r="G3126" s="1">
        <v>689121</v>
      </c>
      <c r="H3126" s="1">
        <v>75</v>
      </c>
    </row>
    <row r="3127" spans="1:8" ht="21.75" customHeight="1">
      <c r="A3127" s="1" t="str">
        <f>"IN30089610478276"</f>
        <v>IN30089610478276</v>
      </c>
      <c r="B3127" s="1" t="s">
        <v>11389</v>
      </c>
      <c r="C3127" s="1" t="s">
        <v>11390</v>
      </c>
      <c r="D3127" s="1" t="s">
        <v>11391</v>
      </c>
      <c r="E3127" s="1" t="s">
        <v>11392</v>
      </c>
      <c r="F3127" s="1"/>
      <c r="G3127" s="1">
        <v>689126</v>
      </c>
      <c r="H3127" s="1">
        <v>8.25</v>
      </c>
    </row>
    <row r="3128" spans="1:8" ht="21.75" customHeight="1">
      <c r="A3128" s="1" t="str">
        <f>"IN30189510587834"</f>
        <v>IN30189510587834</v>
      </c>
      <c r="B3128" s="1" t="s">
        <v>11393</v>
      </c>
      <c r="C3128" s="1" t="s">
        <v>11394</v>
      </c>
      <c r="D3128" s="1" t="s">
        <v>11395</v>
      </c>
      <c r="E3128" s="1" t="s">
        <v>11396</v>
      </c>
      <c r="F3128" s="1"/>
      <c r="G3128" s="1">
        <v>689506</v>
      </c>
      <c r="H3128" s="1">
        <v>0.75</v>
      </c>
    </row>
    <row r="3129" spans="1:8" ht="21.75" customHeight="1">
      <c r="A3129" s="1" t="str">
        <f>"1205670000408900"</f>
        <v>1205670000408900</v>
      </c>
      <c r="B3129" s="1" t="s">
        <v>11397</v>
      </c>
      <c r="C3129" s="1" t="s">
        <v>11398</v>
      </c>
      <c r="D3129" s="1" t="s">
        <v>11399</v>
      </c>
      <c r="E3129" s="1" t="s">
        <v>11400</v>
      </c>
      <c r="F3129" s="1" t="s">
        <v>470</v>
      </c>
      <c r="G3129" s="1">
        <v>689545</v>
      </c>
      <c r="H3129" s="1">
        <v>150</v>
      </c>
    </row>
    <row r="3130" spans="1:8" ht="21.75" customHeight="1">
      <c r="A3130" s="1" t="str">
        <f>"1205670000165853"</f>
        <v>1205670000165853</v>
      </c>
      <c r="B3130" s="1" t="s">
        <v>11401</v>
      </c>
      <c r="C3130" s="1" t="s">
        <v>11402</v>
      </c>
      <c r="D3130" s="1" t="s">
        <v>11403</v>
      </c>
      <c r="E3130" s="1" t="s">
        <v>5428</v>
      </c>
      <c r="F3130" s="1" t="s">
        <v>470</v>
      </c>
      <c r="G3130" s="1">
        <v>689547</v>
      </c>
      <c r="H3130" s="1">
        <v>30</v>
      </c>
    </row>
    <row r="3131" spans="1:8" ht="21.75" customHeight="1">
      <c r="A3131" s="1" t="str">
        <f>"1201090012839250"</f>
        <v>1201090012839250</v>
      </c>
      <c r="B3131" s="1" t="s">
        <v>10442</v>
      </c>
      <c r="C3131" s="1" t="s">
        <v>11404</v>
      </c>
      <c r="D3131" s="1" t="s">
        <v>11405</v>
      </c>
      <c r="E3131" s="1"/>
      <c r="F3131" s="1" t="s">
        <v>5497</v>
      </c>
      <c r="G3131" s="1">
        <v>689572</v>
      </c>
      <c r="H3131" s="1">
        <v>135</v>
      </c>
    </row>
    <row r="3132" spans="1:8" ht="21.75" customHeight="1">
      <c r="A3132" s="1" t="str">
        <f>"IN30011811535836"</f>
        <v>IN30011811535836</v>
      </c>
      <c r="B3132" s="1" t="s">
        <v>11406</v>
      </c>
      <c r="C3132" s="1" t="s">
        <v>11407</v>
      </c>
      <c r="D3132" s="1" t="s">
        <v>11408</v>
      </c>
      <c r="E3132" s="1" t="s">
        <v>11409</v>
      </c>
      <c r="F3132" s="1"/>
      <c r="G3132" s="1">
        <v>689578</v>
      </c>
      <c r="H3132" s="1">
        <v>37.5</v>
      </c>
    </row>
    <row r="3133" spans="1:8" ht="21.75" customHeight="1">
      <c r="A3133" s="1" t="str">
        <f>"1202390000348344"</f>
        <v>1202390000348344</v>
      </c>
      <c r="B3133" s="1" t="s">
        <v>11410</v>
      </c>
      <c r="C3133" s="1" t="s">
        <v>11411</v>
      </c>
      <c r="D3133" s="1" t="s">
        <v>11412</v>
      </c>
      <c r="E3133" s="1" t="s">
        <v>5428</v>
      </c>
      <c r="F3133" s="1" t="s">
        <v>470</v>
      </c>
      <c r="G3133" s="1">
        <v>689582</v>
      </c>
      <c r="H3133" s="1">
        <v>30.75</v>
      </c>
    </row>
    <row r="3134" spans="1:8" ht="21.75" customHeight="1">
      <c r="A3134" s="1" t="str">
        <f>"IN30023913362646"</f>
        <v>IN30023913362646</v>
      </c>
      <c r="B3134" s="1" t="s">
        <v>11413</v>
      </c>
      <c r="C3134" s="1" t="s">
        <v>11414</v>
      </c>
      <c r="D3134" s="1" t="s">
        <v>11415</v>
      </c>
      <c r="E3134" s="1" t="s">
        <v>470</v>
      </c>
      <c r="F3134" s="1"/>
      <c r="G3134" s="1">
        <v>689585</v>
      </c>
      <c r="H3134" s="1">
        <v>262.5</v>
      </c>
    </row>
    <row r="3135" spans="1:8" ht="21.75" customHeight="1">
      <c r="A3135" s="1" t="str">
        <f>"IN30023911165885"</f>
        <v>IN30023911165885</v>
      </c>
      <c r="B3135" s="1" t="s">
        <v>11416</v>
      </c>
      <c r="C3135" s="1" t="s">
        <v>11417</v>
      </c>
      <c r="D3135" s="1" t="s">
        <v>11418</v>
      </c>
      <c r="E3135" s="1" t="s">
        <v>11419</v>
      </c>
      <c r="F3135" s="1"/>
      <c r="G3135" s="1">
        <v>689595</v>
      </c>
      <c r="H3135" s="1">
        <v>375</v>
      </c>
    </row>
    <row r="3136" spans="1:8" ht="21.75" customHeight="1">
      <c r="A3136" s="1" t="str">
        <f>"1204470001991510"</f>
        <v>1204470001991510</v>
      </c>
      <c r="B3136" s="1" t="s">
        <v>11420</v>
      </c>
      <c r="C3136" s="1" t="s">
        <v>11421</v>
      </c>
      <c r="D3136" s="1" t="s">
        <v>11422</v>
      </c>
      <c r="E3136" s="1" t="s">
        <v>11423</v>
      </c>
      <c r="F3136" s="1" t="s">
        <v>5428</v>
      </c>
      <c r="G3136" s="1">
        <v>689602</v>
      </c>
      <c r="H3136" s="1">
        <v>11.25</v>
      </c>
    </row>
    <row r="3137" spans="1:8" ht="21.75" customHeight="1">
      <c r="A3137" s="1" t="str">
        <f>"1201090012883146"</f>
        <v>1201090012883146</v>
      </c>
      <c r="B3137" s="1" t="s">
        <v>11424</v>
      </c>
      <c r="C3137" s="1" t="s">
        <v>11425</v>
      </c>
      <c r="D3137" s="1" t="s">
        <v>11426</v>
      </c>
      <c r="E3137" s="1" t="s">
        <v>11427</v>
      </c>
      <c r="F3137" s="1" t="s">
        <v>470</v>
      </c>
      <c r="G3137" s="1">
        <v>689602</v>
      </c>
      <c r="H3137" s="1">
        <v>67.5</v>
      </c>
    </row>
    <row r="3138" spans="1:8" ht="21.75" customHeight="1">
      <c r="A3138" s="1" t="str">
        <f>"1201090012606651"</f>
        <v>1201090012606651</v>
      </c>
      <c r="B3138" s="1" t="s">
        <v>11428</v>
      </c>
      <c r="C3138" s="1" t="s">
        <v>11429</v>
      </c>
      <c r="D3138" s="1" t="s">
        <v>11430</v>
      </c>
      <c r="E3138" s="1" t="s">
        <v>11431</v>
      </c>
      <c r="F3138" s="1" t="s">
        <v>470</v>
      </c>
      <c r="G3138" s="1">
        <v>689613</v>
      </c>
      <c r="H3138" s="1">
        <v>4.5</v>
      </c>
    </row>
    <row r="3139" spans="1:8" ht="21.75" customHeight="1">
      <c r="A3139" s="1" t="str">
        <f>"1201090012653246"</f>
        <v>1201090012653246</v>
      </c>
      <c r="B3139" s="1" t="s">
        <v>11432</v>
      </c>
      <c r="C3139" s="1" t="s">
        <v>11433</v>
      </c>
      <c r="D3139" s="1" t="s">
        <v>11434</v>
      </c>
      <c r="E3139" s="1" t="s">
        <v>11435</v>
      </c>
      <c r="F3139" s="1" t="s">
        <v>470</v>
      </c>
      <c r="G3139" s="1">
        <v>689614</v>
      </c>
      <c r="H3139" s="1">
        <v>41.25</v>
      </c>
    </row>
    <row r="3140" spans="1:8" ht="21.75" customHeight="1">
      <c r="A3140" s="1" t="str">
        <f>"IN30189510370514"</f>
        <v>IN30189510370514</v>
      </c>
      <c r="B3140" s="1" t="s">
        <v>11436</v>
      </c>
      <c r="C3140" s="1" t="s">
        <v>11437</v>
      </c>
      <c r="D3140" s="1" t="s">
        <v>11438</v>
      </c>
      <c r="E3140" s="1" t="s">
        <v>11439</v>
      </c>
      <c r="F3140" s="1"/>
      <c r="G3140" s="1">
        <v>689626</v>
      </c>
      <c r="H3140" s="1">
        <v>0.75</v>
      </c>
    </row>
    <row r="3141" spans="1:8" ht="21.75" customHeight="1">
      <c r="A3141" s="1" t="str">
        <f>"IN30189510488578"</f>
        <v>IN30189510488578</v>
      </c>
      <c r="B3141" s="1" t="s">
        <v>11440</v>
      </c>
      <c r="C3141" s="1" t="s">
        <v>11441</v>
      </c>
      <c r="D3141" s="1" t="s">
        <v>11442</v>
      </c>
      <c r="E3141" s="1" t="s">
        <v>11443</v>
      </c>
      <c r="F3141" s="1"/>
      <c r="G3141" s="1">
        <v>689641</v>
      </c>
      <c r="H3141" s="1">
        <v>75</v>
      </c>
    </row>
    <row r="3142" spans="1:8" ht="21.75" customHeight="1">
      <c r="A3142" s="1" t="str">
        <f>"1203600000690006"</f>
        <v>1203600000690006</v>
      </c>
      <c r="B3142" s="1" t="s">
        <v>11444</v>
      </c>
      <c r="C3142" s="1" t="s">
        <v>11445</v>
      </c>
      <c r="D3142" s="1" t="s">
        <v>11446</v>
      </c>
      <c r="E3142" s="1" t="s">
        <v>11447</v>
      </c>
      <c r="F3142" s="1" t="s">
        <v>470</v>
      </c>
      <c r="G3142" s="1">
        <v>689643</v>
      </c>
      <c r="H3142" s="1">
        <v>71.25</v>
      </c>
    </row>
    <row r="3143" spans="1:8" ht="21.75" customHeight="1">
      <c r="A3143" s="1" t="str">
        <f>"IN30023913086319"</f>
        <v>IN30023913086319</v>
      </c>
      <c r="B3143" s="1" t="s">
        <v>11448</v>
      </c>
      <c r="C3143" s="1" t="s">
        <v>11449</v>
      </c>
      <c r="D3143" s="1" t="s">
        <v>11450</v>
      </c>
      <c r="E3143" s="1" t="s">
        <v>11451</v>
      </c>
      <c r="F3143" s="1"/>
      <c r="G3143" s="1">
        <v>689643</v>
      </c>
      <c r="H3143" s="1">
        <v>375</v>
      </c>
    </row>
    <row r="3144" spans="1:8" ht="21.75" customHeight="1">
      <c r="A3144" s="1" t="str">
        <f>"1201090012669030"</f>
        <v>1201090012669030</v>
      </c>
      <c r="B3144" s="1" t="s">
        <v>11452</v>
      </c>
      <c r="C3144" s="1" t="s">
        <v>11453</v>
      </c>
      <c r="D3144" s="1" t="s">
        <v>11454</v>
      </c>
      <c r="E3144" s="1"/>
      <c r="F3144" s="1" t="s">
        <v>470</v>
      </c>
      <c r="G3144" s="1">
        <v>689643</v>
      </c>
      <c r="H3144" s="1">
        <v>26.25</v>
      </c>
    </row>
    <row r="3145" spans="1:8" ht="21.75" customHeight="1">
      <c r="A3145" s="1" t="str">
        <f>"IN30039416007736"</f>
        <v>IN30039416007736</v>
      </c>
      <c r="B3145" s="1" t="s">
        <v>11455</v>
      </c>
      <c r="C3145" s="1" t="s">
        <v>11456</v>
      </c>
      <c r="D3145" s="1" t="s">
        <v>11457</v>
      </c>
      <c r="E3145" s="1" t="s">
        <v>11375</v>
      </c>
      <c r="F3145" s="1"/>
      <c r="G3145" s="1">
        <v>689645</v>
      </c>
      <c r="H3145" s="1">
        <v>0.75</v>
      </c>
    </row>
    <row r="3146" spans="1:8" ht="21.75" customHeight="1">
      <c r="A3146" s="1" t="str">
        <f>"1201090012823559"</f>
        <v>1201090012823559</v>
      </c>
      <c r="B3146" s="1" t="s">
        <v>11458</v>
      </c>
      <c r="C3146" s="1" t="s">
        <v>11459</v>
      </c>
      <c r="D3146" s="1" t="s">
        <v>11460</v>
      </c>
      <c r="E3146" s="1"/>
      <c r="F3146" s="1" t="s">
        <v>470</v>
      </c>
      <c r="G3146" s="1">
        <v>689645</v>
      </c>
      <c r="H3146" s="1">
        <v>37.5</v>
      </c>
    </row>
    <row r="3147" spans="1:8" ht="21.75" customHeight="1">
      <c r="A3147" s="1" t="str">
        <f>"1203440000390773"</f>
        <v>1203440000390773</v>
      </c>
      <c r="B3147" s="1" t="s">
        <v>11461</v>
      </c>
      <c r="C3147" s="1" t="s">
        <v>11462</v>
      </c>
      <c r="D3147" s="1" t="s">
        <v>11463</v>
      </c>
      <c r="E3147" s="1" t="s">
        <v>11464</v>
      </c>
      <c r="F3147" s="1" t="s">
        <v>470</v>
      </c>
      <c r="G3147" s="1">
        <v>689645</v>
      </c>
      <c r="H3147" s="1">
        <v>16.5</v>
      </c>
    </row>
    <row r="3148" spans="1:8" ht="21.75" customHeight="1">
      <c r="A3148" s="1" t="str">
        <f>"1203440000493017"</f>
        <v>1203440000493017</v>
      </c>
      <c r="B3148" s="1" t="s">
        <v>11465</v>
      </c>
      <c r="C3148" s="1" t="s">
        <v>11466</v>
      </c>
      <c r="D3148" s="1" t="s">
        <v>11467</v>
      </c>
      <c r="E3148" s="1" t="s">
        <v>470</v>
      </c>
      <c r="F3148" s="1" t="s">
        <v>11468</v>
      </c>
      <c r="G3148" s="1">
        <v>689645</v>
      </c>
      <c r="H3148" s="1">
        <v>14.25</v>
      </c>
    </row>
    <row r="3149" spans="1:8" ht="21.75" customHeight="1">
      <c r="A3149" s="1" t="str">
        <f>"1204760000193066"</f>
        <v>1204760000193066</v>
      </c>
      <c r="B3149" s="1" t="s">
        <v>11469</v>
      </c>
      <c r="C3149" s="1" t="s">
        <v>11470</v>
      </c>
      <c r="D3149" s="1" t="s">
        <v>11471</v>
      </c>
      <c r="E3149" s="1"/>
      <c r="F3149" s="1" t="s">
        <v>470</v>
      </c>
      <c r="G3149" s="1">
        <v>689645</v>
      </c>
      <c r="H3149" s="1">
        <v>41.25</v>
      </c>
    </row>
    <row r="3150" spans="1:8" ht="21.75" customHeight="1">
      <c r="A3150" s="1" t="str">
        <f>"1204470002617052"</f>
        <v>1204470002617052</v>
      </c>
      <c r="B3150" s="1" t="s">
        <v>11472</v>
      </c>
      <c r="C3150" s="1" t="s">
        <v>11473</v>
      </c>
      <c r="D3150" s="1" t="s">
        <v>11474</v>
      </c>
      <c r="E3150" s="1"/>
      <c r="F3150" s="1" t="s">
        <v>470</v>
      </c>
      <c r="G3150" s="1">
        <v>689647</v>
      </c>
      <c r="H3150" s="1">
        <v>72.75</v>
      </c>
    </row>
    <row r="3151" spans="1:8" ht="21.75" customHeight="1">
      <c r="A3151" s="1" t="str">
        <f>"IN30226912925456"</f>
        <v>IN30226912925456</v>
      </c>
      <c r="B3151" s="1" t="s">
        <v>11475</v>
      </c>
      <c r="C3151" s="1" t="s">
        <v>11476</v>
      </c>
      <c r="D3151" s="1" t="s">
        <v>11477</v>
      </c>
      <c r="E3151" s="1" t="s">
        <v>11478</v>
      </c>
      <c r="F3151" s="1"/>
      <c r="G3151" s="1">
        <v>689649</v>
      </c>
      <c r="H3151" s="1">
        <v>0.75</v>
      </c>
    </row>
    <row r="3152" spans="1:8" ht="21.75" customHeight="1">
      <c r="A3152" s="1" t="str">
        <f>"1204760000216876"</f>
        <v>1204760000216876</v>
      </c>
      <c r="B3152" s="1" t="s">
        <v>11479</v>
      </c>
      <c r="C3152" s="1" t="s">
        <v>11480</v>
      </c>
      <c r="D3152" s="1" t="s">
        <v>11481</v>
      </c>
      <c r="E3152" s="1"/>
      <c r="F3152" s="1" t="s">
        <v>470</v>
      </c>
      <c r="G3152" s="1">
        <v>689653</v>
      </c>
      <c r="H3152" s="1">
        <v>75</v>
      </c>
    </row>
    <row r="3153" spans="1:8" ht="21.75" customHeight="1">
      <c r="A3153" s="1" t="str">
        <f>"IN30089610458764"</f>
        <v>IN30089610458764</v>
      </c>
      <c r="B3153" s="1" t="s">
        <v>11482</v>
      </c>
      <c r="C3153" s="1" t="s">
        <v>11483</v>
      </c>
      <c r="D3153" s="1" t="s">
        <v>11484</v>
      </c>
      <c r="E3153" s="1" t="s">
        <v>11485</v>
      </c>
      <c r="F3153" s="1"/>
      <c r="G3153" s="1">
        <v>689654</v>
      </c>
      <c r="H3153" s="1">
        <v>37.5</v>
      </c>
    </row>
    <row r="3154" spans="1:8" ht="21.75" customHeight="1">
      <c r="A3154" s="1" t="str">
        <f>"1204470005240488"</f>
        <v>1204470005240488</v>
      </c>
      <c r="B3154" s="1" t="s">
        <v>11486</v>
      </c>
      <c r="C3154" s="1" t="s">
        <v>11487</v>
      </c>
      <c r="D3154" s="1" t="s">
        <v>11488</v>
      </c>
      <c r="E3154" s="1"/>
      <c r="F3154" s="1" t="s">
        <v>470</v>
      </c>
      <c r="G3154" s="1">
        <v>689659</v>
      </c>
      <c r="H3154" s="1">
        <v>102</v>
      </c>
    </row>
    <row r="3155" spans="1:8" ht="21.75" customHeight="1">
      <c r="A3155" s="1" t="str">
        <f>"1205670000155792"</f>
        <v>1205670000155792</v>
      </c>
      <c r="B3155" s="1" t="s">
        <v>11489</v>
      </c>
      <c r="C3155" s="1" t="s">
        <v>11490</v>
      </c>
      <c r="D3155" s="1" t="s">
        <v>11491</v>
      </c>
      <c r="E3155" s="1" t="s">
        <v>11492</v>
      </c>
      <c r="F3155" s="1" t="s">
        <v>470</v>
      </c>
      <c r="G3155" s="1">
        <v>689674</v>
      </c>
      <c r="H3155" s="1">
        <v>75</v>
      </c>
    </row>
    <row r="3156" spans="1:8" ht="21.75" customHeight="1">
      <c r="A3156" s="1" t="str">
        <f>"IN30011811513714"</f>
        <v>IN30011811513714</v>
      </c>
      <c r="B3156" s="1" t="s">
        <v>11493</v>
      </c>
      <c r="C3156" s="1">
        <v>504</v>
      </c>
      <c r="D3156" s="1" t="s">
        <v>11494</v>
      </c>
      <c r="E3156" s="1" t="s">
        <v>11495</v>
      </c>
      <c r="F3156" s="1"/>
      <c r="G3156" s="1">
        <v>689691</v>
      </c>
      <c r="H3156" s="1">
        <v>150</v>
      </c>
    </row>
    <row r="3157" spans="1:8" ht="21.75" customHeight="1">
      <c r="A3157" s="1" t="str">
        <f>"1204760000183431"</f>
        <v>1204760000183431</v>
      </c>
      <c r="B3157" s="1" t="s">
        <v>11497</v>
      </c>
      <c r="C3157" s="1" t="s">
        <v>11498</v>
      </c>
      <c r="D3157" s="1" t="s">
        <v>11499</v>
      </c>
      <c r="E3157" s="1" t="s">
        <v>11500</v>
      </c>
      <c r="F3157" s="1" t="s">
        <v>11496</v>
      </c>
      <c r="G3157" s="1">
        <v>689691</v>
      </c>
      <c r="H3157" s="1">
        <v>86.25</v>
      </c>
    </row>
    <row r="3158" spans="1:8" ht="21.75" customHeight="1">
      <c r="A3158" s="1" t="str">
        <f>"IN30226913575272"</f>
        <v>IN30226913575272</v>
      </c>
      <c r="B3158" s="1" t="s">
        <v>11501</v>
      </c>
      <c r="C3158" s="1" t="s">
        <v>11502</v>
      </c>
      <c r="D3158" s="1" t="s">
        <v>11503</v>
      </c>
      <c r="E3158" s="1" t="s">
        <v>11504</v>
      </c>
      <c r="F3158" s="1"/>
      <c r="G3158" s="1">
        <v>689695</v>
      </c>
      <c r="H3158" s="1">
        <v>21</v>
      </c>
    </row>
    <row r="3159" spans="1:8" ht="21.75" customHeight="1">
      <c r="A3159" s="1" t="str">
        <f>"IN30189511078404"</f>
        <v>IN30189511078404</v>
      </c>
      <c r="B3159" s="1" t="s">
        <v>11505</v>
      </c>
      <c r="C3159" s="1" t="s">
        <v>11506</v>
      </c>
      <c r="D3159" s="1" t="s">
        <v>11507</v>
      </c>
      <c r="E3159" s="1" t="s">
        <v>11508</v>
      </c>
      <c r="F3159" s="1"/>
      <c r="G3159" s="1">
        <v>689695</v>
      </c>
      <c r="H3159" s="1">
        <v>19.5</v>
      </c>
    </row>
    <row r="3160" spans="1:8" ht="21.75" customHeight="1">
      <c r="A3160" s="1" t="str">
        <f>"1204470002725875"</f>
        <v>1204470002725875</v>
      </c>
      <c r="B3160" s="1" t="s">
        <v>11509</v>
      </c>
      <c r="C3160" s="1" t="s">
        <v>11510</v>
      </c>
      <c r="D3160" s="1" t="s">
        <v>11511</v>
      </c>
      <c r="E3160" s="1" t="s">
        <v>11496</v>
      </c>
      <c r="F3160" s="1" t="s">
        <v>11496</v>
      </c>
      <c r="G3160" s="1">
        <v>689703</v>
      </c>
      <c r="H3160" s="1">
        <v>7.5</v>
      </c>
    </row>
    <row r="3161" spans="1:8" ht="21.75" customHeight="1">
      <c r="A3161" s="1" t="str">
        <f>"IN30023912555805"</f>
        <v>IN30023912555805</v>
      </c>
      <c r="B3161" s="1" t="s">
        <v>11512</v>
      </c>
      <c r="C3161" s="1" t="s">
        <v>11513</v>
      </c>
      <c r="D3161" s="1" t="s">
        <v>11514</v>
      </c>
      <c r="E3161" s="1" t="s">
        <v>11515</v>
      </c>
      <c r="F3161" s="1"/>
      <c r="G3161" s="1">
        <v>690102</v>
      </c>
      <c r="H3161" s="1">
        <v>7.5</v>
      </c>
    </row>
    <row r="3162" spans="1:8" ht="21.75" customHeight="1">
      <c r="A3162" s="1" t="str">
        <f>"1204720011189809"</f>
        <v>1204720011189809</v>
      </c>
      <c r="B3162" s="1" t="s">
        <v>11516</v>
      </c>
      <c r="C3162" s="1" t="s">
        <v>11517</v>
      </c>
      <c r="D3162" s="1" t="s">
        <v>11518</v>
      </c>
      <c r="E3162" s="1" t="s">
        <v>608</v>
      </c>
      <c r="F3162" s="1" t="s">
        <v>5497</v>
      </c>
      <c r="G3162" s="1">
        <v>690105</v>
      </c>
      <c r="H3162" s="1">
        <v>0.75</v>
      </c>
    </row>
    <row r="3163" spans="1:8" ht="21.75" customHeight="1">
      <c r="A3163" s="1" t="str">
        <f>"1202390000257639"</f>
        <v>1202390000257639</v>
      </c>
      <c r="B3163" s="1" t="s">
        <v>11519</v>
      </c>
      <c r="C3163" s="1" t="s">
        <v>11520</v>
      </c>
      <c r="D3163" s="1" t="s">
        <v>11521</v>
      </c>
      <c r="E3163" s="1" t="s">
        <v>11522</v>
      </c>
      <c r="F3163" s="1" t="s">
        <v>608</v>
      </c>
      <c r="G3163" s="1">
        <v>690501</v>
      </c>
      <c r="H3163" s="1">
        <v>75</v>
      </c>
    </row>
    <row r="3164" spans="1:8" ht="21.75" customHeight="1">
      <c r="A3164" s="1" t="str">
        <f>"1202300000039185"</f>
        <v>1202300000039185</v>
      </c>
      <c r="B3164" s="1" t="s">
        <v>11523</v>
      </c>
      <c r="C3164" s="1" t="s">
        <v>11524</v>
      </c>
      <c r="D3164" s="1" t="s">
        <v>11525</v>
      </c>
      <c r="E3164" s="1" t="s">
        <v>11526</v>
      </c>
      <c r="F3164" s="1" t="s">
        <v>11526</v>
      </c>
      <c r="G3164" s="1">
        <v>690502</v>
      </c>
      <c r="H3164" s="1">
        <v>12</v>
      </c>
    </row>
    <row r="3165" spans="1:8" ht="21.75" customHeight="1">
      <c r="A3165" s="1" t="str">
        <f>"IN30177415890072"</f>
        <v>IN30177415890072</v>
      </c>
      <c r="B3165" s="1" t="s">
        <v>11527</v>
      </c>
      <c r="C3165" s="1" t="s">
        <v>11528</v>
      </c>
      <c r="D3165" s="1" t="s">
        <v>11529</v>
      </c>
      <c r="E3165" s="1" t="s">
        <v>11530</v>
      </c>
      <c r="F3165" s="1"/>
      <c r="G3165" s="1">
        <v>690502</v>
      </c>
      <c r="H3165" s="1">
        <v>37.5</v>
      </c>
    </row>
    <row r="3166" spans="1:8" ht="21.75" customHeight="1">
      <c r="A3166" s="1" t="str">
        <f>"IN30051315143165"</f>
        <v>IN30051315143165</v>
      </c>
      <c r="B3166" s="1" t="s">
        <v>11531</v>
      </c>
      <c r="C3166" s="1" t="s">
        <v>11532</v>
      </c>
      <c r="D3166" s="1" t="s">
        <v>11526</v>
      </c>
      <c r="E3166" s="1" t="s">
        <v>11533</v>
      </c>
      <c r="F3166" s="1"/>
      <c r="G3166" s="1">
        <v>690502</v>
      </c>
      <c r="H3166" s="1">
        <v>375</v>
      </c>
    </row>
    <row r="3167" spans="1:8" ht="21.75" customHeight="1">
      <c r="A3167" s="1" t="str">
        <f>"IN30023912350812"</f>
        <v>IN30023912350812</v>
      </c>
      <c r="B3167" s="1" t="s">
        <v>11534</v>
      </c>
      <c r="C3167" s="1" t="s">
        <v>11535</v>
      </c>
      <c r="D3167" s="1" t="s">
        <v>11536</v>
      </c>
      <c r="E3167" s="1" t="s">
        <v>11537</v>
      </c>
      <c r="F3167" s="1"/>
      <c r="G3167" s="1">
        <v>690502</v>
      </c>
      <c r="H3167" s="1">
        <v>75</v>
      </c>
    </row>
    <row r="3168" spans="1:8" ht="21.75" customHeight="1">
      <c r="A3168" s="1" t="str">
        <f>"IN30177415277581"</f>
        <v>IN30177415277581</v>
      </c>
      <c r="B3168" s="1" t="s">
        <v>11538</v>
      </c>
      <c r="C3168" s="1" t="s">
        <v>11539</v>
      </c>
      <c r="D3168" s="1" t="s">
        <v>11540</v>
      </c>
      <c r="E3168" s="1" t="s">
        <v>11541</v>
      </c>
      <c r="F3168" s="1"/>
      <c r="G3168" s="1">
        <v>690503</v>
      </c>
      <c r="H3168" s="1">
        <v>37.5</v>
      </c>
    </row>
    <row r="3169" spans="1:8" ht="21.75" customHeight="1">
      <c r="A3169" s="1" t="str">
        <f>"1202390000278752"</f>
        <v>1202390000278752</v>
      </c>
      <c r="B3169" s="1" t="s">
        <v>11542</v>
      </c>
      <c r="C3169" s="1" t="s">
        <v>11543</v>
      </c>
      <c r="D3169" s="1" t="s">
        <v>11544</v>
      </c>
      <c r="E3169" s="1" t="s">
        <v>11545</v>
      </c>
      <c r="F3169" s="1" t="s">
        <v>5497</v>
      </c>
      <c r="G3169" s="1">
        <v>690505</v>
      </c>
      <c r="H3169" s="1">
        <v>255</v>
      </c>
    </row>
    <row r="3170" spans="1:8" ht="21.75" customHeight="1">
      <c r="A3170" s="1" t="str">
        <f>"1202390000278767"</f>
        <v>1202390000278767</v>
      </c>
      <c r="B3170" s="1" t="s">
        <v>11546</v>
      </c>
      <c r="C3170" s="1" t="s">
        <v>11543</v>
      </c>
      <c r="D3170" s="1" t="s">
        <v>11544</v>
      </c>
      <c r="E3170" s="1" t="s">
        <v>11547</v>
      </c>
      <c r="F3170" s="1" t="s">
        <v>5497</v>
      </c>
      <c r="G3170" s="1">
        <v>690505</v>
      </c>
      <c r="H3170" s="1">
        <v>45</v>
      </c>
    </row>
    <row r="3171" spans="1:8" ht="21.75" customHeight="1">
      <c r="A3171" s="1" t="str">
        <f>"1201090012816898"</f>
        <v>1201090012816898</v>
      </c>
      <c r="B3171" s="1" t="s">
        <v>11548</v>
      </c>
      <c r="C3171" s="1" t="s">
        <v>11549</v>
      </c>
      <c r="D3171" s="1" t="s">
        <v>11550</v>
      </c>
      <c r="E3171" s="1" t="s">
        <v>5497</v>
      </c>
      <c r="F3171" s="1" t="s">
        <v>5497</v>
      </c>
      <c r="G3171" s="1">
        <v>690507</v>
      </c>
      <c r="H3171" s="1">
        <v>270</v>
      </c>
    </row>
    <row r="3172" spans="1:8" ht="21.75" customHeight="1">
      <c r="A3172" s="1" t="str">
        <f>"IN30023910672644"</f>
        <v>IN30023910672644</v>
      </c>
      <c r="B3172" s="1" t="s">
        <v>11551</v>
      </c>
      <c r="C3172" s="1" t="s">
        <v>11552</v>
      </c>
      <c r="D3172" s="1" t="s">
        <v>11553</v>
      </c>
      <c r="E3172" s="1" t="s">
        <v>11554</v>
      </c>
      <c r="F3172" s="1"/>
      <c r="G3172" s="1">
        <v>690508</v>
      </c>
      <c r="H3172" s="1">
        <v>375</v>
      </c>
    </row>
    <row r="3173" spans="1:8" ht="21.75" customHeight="1">
      <c r="A3173" s="1" t="str">
        <f>"1202390000261170"</f>
        <v>1202390000261170</v>
      </c>
      <c r="B3173" s="1" t="s">
        <v>11555</v>
      </c>
      <c r="C3173" s="1" t="s">
        <v>11556</v>
      </c>
      <c r="D3173" s="1" t="s">
        <v>11557</v>
      </c>
      <c r="E3173" s="1"/>
      <c r="F3173" s="1" t="s">
        <v>5497</v>
      </c>
      <c r="G3173" s="1">
        <v>690509</v>
      </c>
      <c r="H3173" s="1">
        <v>75</v>
      </c>
    </row>
    <row r="3174" spans="1:8" ht="21.75" customHeight="1">
      <c r="A3174" s="1" t="str">
        <f>"1204470005121911"</f>
        <v>1204470005121911</v>
      </c>
      <c r="B3174" s="1" t="s">
        <v>11558</v>
      </c>
      <c r="C3174" s="1" t="s">
        <v>11559</v>
      </c>
      <c r="D3174" s="1" t="s">
        <v>11560</v>
      </c>
      <c r="E3174" s="1"/>
      <c r="F3174" s="1" t="s">
        <v>5497</v>
      </c>
      <c r="G3174" s="1">
        <v>690509</v>
      </c>
      <c r="H3174" s="1">
        <v>75</v>
      </c>
    </row>
    <row r="3175" spans="1:8" ht="21.75" customHeight="1">
      <c r="A3175" s="1" t="str">
        <f>"IN30023913391595"</f>
        <v>IN30023913391595</v>
      </c>
      <c r="B3175" s="1" t="s">
        <v>11561</v>
      </c>
      <c r="C3175" s="1" t="s">
        <v>11562</v>
      </c>
      <c r="D3175" s="1" t="s">
        <v>11563</v>
      </c>
      <c r="E3175" s="1" t="s">
        <v>11564</v>
      </c>
      <c r="F3175" s="1"/>
      <c r="G3175" s="1">
        <v>690516</v>
      </c>
      <c r="H3175" s="1">
        <v>0.75</v>
      </c>
    </row>
    <row r="3176" spans="1:8" ht="21.75" customHeight="1">
      <c r="A3176" s="1" t="str">
        <f>"IN30039417719736"</f>
        <v>IN30039417719736</v>
      </c>
      <c r="B3176" s="1" t="s">
        <v>11565</v>
      </c>
      <c r="C3176" s="1" t="s">
        <v>11566</v>
      </c>
      <c r="D3176" s="1" t="s">
        <v>11567</v>
      </c>
      <c r="E3176" s="1" t="s">
        <v>11568</v>
      </c>
      <c r="F3176" s="1"/>
      <c r="G3176" s="1">
        <v>690517</v>
      </c>
      <c r="H3176" s="1">
        <v>9</v>
      </c>
    </row>
    <row r="3177" spans="1:8" ht="21.75" customHeight="1">
      <c r="A3177" s="1" t="str">
        <f>"IN30023912318277"</f>
        <v>IN30023912318277</v>
      </c>
      <c r="B3177" s="1" t="s">
        <v>1107</v>
      </c>
      <c r="C3177" s="1" t="s">
        <v>11569</v>
      </c>
      <c r="D3177" s="1" t="s">
        <v>11570</v>
      </c>
      <c r="E3177" s="1" t="s">
        <v>11571</v>
      </c>
      <c r="F3177" s="1"/>
      <c r="G3177" s="1">
        <v>690518</v>
      </c>
      <c r="H3177" s="1">
        <v>782.5</v>
      </c>
    </row>
    <row r="3178" spans="1:8" ht="21.75" customHeight="1">
      <c r="A3178" s="1" t="str">
        <f>"IN30023910494274"</f>
        <v>IN30023910494274</v>
      </c>
      <c r="B3178" s="1" t="s">
        <v>11572</v>
      </c>
      <c r="C3178" s="1" t="s">
        <v>11573</v>
      </c>
      <c r="D3178" s="1" t="s">
        <v>11574</v>
      </c>
      <c r="E3178" s="1" t="s">
        <v>11575</v>
      </c>
      <c r="F3178" s="1"/>
      <c r="G3178" s="1">
        <v>690518</v>
      </c>
      <c r="H3178" s="1">
        <v>7.5</v>
      </c>
    </row>
    <row r="3179" spans="1:8" ht="21.75" customHeight="1">
      <c r="A3179" s="1" t="str">
        <f>"IN30226912555385"</f>
        <v>IN30226912555385</v>
      </c>
      <c r="B3179" s="1" t="s">
        <v>11576</v>
      </c>
      <c r="C3179" s="1" t="s">
        <v>11577</v>
      </c>
      <c r="D3179" s="1" t="s">
        <v>614</v>
      </c>
      <c r="E3179" s="1" t="s">
        <v>509</v>
      </c>
      <c r="F3179" s="1"/>
      <c r="G3179" s="1">
        <v>690521</v>
      </c>
      <c r="H3179" s="1">
        <v>19.5</v>
      </c>
    </row>
    <row r="3180" spans="1:8" ht="21.75" customHeight="1">
      <c r="A3180" s="1" t="str">
        <f>"1204470000431733"</f>
        <v>1204470000431733</v>
      </c>
      <c r="B3180" s="1" t="s">
        <v>11578</v>
      </c>
      <c r="C3180" s="1" t="s">
        <v>11579</v>
      </c>
      <c r="D3180" s="1" t="s">
        <v>11580</v>
      </c>
      <c r="E3180" s="1" t="s">
        <v>11581</v>
      </c>
      <c r="F3180" s="1" t="s">
        <v>11526</v>
      </c>
      <c r="G3180" s="1">
        <v>690527</v>
      </c>
      <c r="H3180" s="1">
        <v>0.75</v>
      </c>
    </row>
    <row r="3181" spans="1:8" ht="21.75" customHeight="1">
      <c r="A3181" s="1" t="str">
        <f>"1204470003673206"</f>
        <v>1204470003673206</v>
      </c>
      <c r="B3181" s="1" t="s">
        <v>11582</v>
      </c>
      <c r="C3181" s="1" t="s">
        <v>11583</v>
      </c>
      <c r="D3181" s="1" t="s">
        <v>11584</v>
      </c>
      <c r="E3181" s="1" t="s">
        <v>11570</v>
      </c>
      <c r="F3181" s="1" t="s">
        <v>614</v>
      </c>
      <c r="G3181" s="1">
        <v>690528</v>
      </c>
      <c r="H3181" s="1">
        <v>47.25</v>
      </c>
    </row>
    <row r="3182" spans="1:8" ht="21.75" customHeight="1">
      <c r="A3182" s="1" t="str">
        <f>"1201090012596224"</f>
        <v>1201090012596224</v>
      </c>
      <c r="B3182" s="1" t="s">
        <v>11585</v>
      </c>
      <c r="C3182" s="1" t="s">
        <v>11586</v>
      </c>
      <c r="D3182" s="1" t="s">
        <v>11587</v>
      </c>
      <c r="E3182" s="1" t="s">
        <v>11588</v>
      </c>
      <c r="F3182" s="1" t="s">
        <v>5497</v>
      </c>
      <c r="G3182" s="1">
        <v>690529</v>
      </c>
      <c r="H3182" s="1">
        <v>97.5</v>
      </c>
    </row>
    <row r="3183" spans="1:8" ht="21.75" customHeight="1">
      <c r="A3183" s="1" t="str">
        <f>"1204470002565131"</f>
        <v>1204470002565131</v>
      </c>
      <c r="B3183" s="1" t="s">
        <v>7391</v>
      </c>
      <c r="C3183" s="1" t="s">
        <v>11589</v>
      </c>
      <c r="D3183" s="1" t="s">
        <v>11590</v>
      </c>
      <c r="E3183" s="1" t="s">
        <v>11591</v>
      </c>
      <c r="F3183" s="1" t="s">
        <v>11526</v>
      </c>
      <c r="G3183" s="1">
        <v>690537</v>
      </c>
      <c r="H3183" s="1">
        <v>3.5</v>
      </c>
    </row>
    <row r="3184" spans="1:8" ht="21.75" customHeight="1">
      <c r="A3184" s="1" t="str">
        <f>"1202390000319492"</f>
        <v>1202390000319492</v>
      </c>
      <c r="B3184" s="1" t="s">
        <v>11592</v>
      </c>
      <c r="C3184" s="1" t="s">
        <v>11593</v>
      </c>
      <c r="D3184" s="1" t="s">
        <v>11594</v>
      </c>
      <c r="E3184" s="1" t="s">
        <v>11595</v>
      </c>
      <c r="F3184" s="1" t="s">
        <v>5497</v>
      </c>
      <c r="G3184" s="1">
        <v>690563</v>
      </c>
      <c r="H3184" s="1">
        <v>15</v>
      </c>
    </row>
    <row r="3185" spans="1:8" ht="21.75" customHeight="1">
      <c r="A3185" s="1" t="str">
        <f>"IN30039418218809"</f>
        <v>IN30039418218809</v>
      </c>
      <c r="B3185" s="1" t="s">
        <v>11596</v>
      </c>
      <c r="C3185" s="1" t="s">
        <v>11597</v>
      </c>
      <c r="D3185" s="1" t="s">
        <v>11598</v>
      </c>
      <c r="E3185" s="1" t="s">
        <v>11599</v>
      </c>
      <c r="F3185" s="1"/>
      <c r="G3185" s="1">
        <v>690572</v>
      </c>
      <c r="H3185" s="1">
        <v>37.5</v>
      </c>
    </row>
    <row r="3186" spans="1:8" ht="21.75" customHeight="1">
      <c r="A3186" s="1" t="str">
        <f>"IN30023912173546"</f>
        <v>IN30023912173546</v>
      </c>
      <c r="B3186" s="1" t="s">
        <v>11600</v>
      </c>
      <c r="C3186" s="1" t="s">
        <v>5125</v>
      </c>
      <c r="D3186" s="1" t="s">
        <v>11601</v>
      </c>
      <c r="E3186" s="1" t="s">
        <v>11602</v>
      </c>
      <c r="F3186" s="1"/>
      <c r="G3186" s="1">
        <v>690573</v>
      </c>
      <c r="H3186" s="1">
        <v>112.5</v>
      </c>
    </row>
    <row r="3187" spans="1:8" ht="21.75" customHeight="1">
      <c r="A3187" s="1" t="str">
        <f>"1204760000216671"</f>
        <v>1204760000216671</v>
      </c>
      <c r="B3187" s="1" t="s">
        <v>11603</v>
      </c>
      <c r="C3187" s="1" t="s">
        <v>11604</v>
      </c>
      <c r="D3187" s="1" t="s">
        <v>11605</v>
      </c>
      <c r="E3187" s="1" t="s">
        <v>11606</v>
      </c>
      <c r="F3187" s="1" t="s">
        <v>614</v>
      </c>
      <c r="G3187" s="1">
        <v>691001</v>
      </c>
      <c r="H3187" s="1">
        <v>225</v>
      </c>
    </row>
    <row r="3188" spans="1:8" ht="21.75" customHeight="1">
      <c r="A3188" s="1" t="str">
        <f>"1204470005081381"</f>
        <v>1204470005081381</v>
      </c>
      <c r="B3188" s="1" t="s">
        <v>11607</v>
      </c>
      <c r="C3188" s="1" t="s">
        <v>11608</v>
      </c>
      <c r="D3188" s="1" t="s">
        <v>11609</v>
      </c>
      <c r="E3188" s="1"/>
      <c r="F3188" s="1" t="s">
        <v>614</v>
      </c>
      <c r="G3188" s="1">
        <v>691002</v>
      </c>
      <c r="H3188" s="1">
        <v>3</v>
      </c>
    </row>
    <row r="3189" spans="1:8" ht="21.75" customHeight="1">
      <c r="A3189" s="1" t="str">
        <f>"IN30023911783132"</f>
        <v>IN30023911783132</v>
      </c>
      <c r="B3189" s="1" t="s">
        <v>8895</v>
      </c>
      <c r="C3189" s="1" t="s">
        <v>11610</v>
      </c>
      <c r="D3189" s="1" t="s">
        <v>11611</v>
      </c>
      <c r="E3189" s="1" t="s">
        <v>11612</v>
      </c>
      <c r="F3189" s="1"/>
      <c r="G3189" s="1">
        <v>691003</v>
      </c>
      <c r="H3189" s="1">
        <v>150</v>
      </c>
    </row>
    <row r="3190" spans="1:8" ht="21.75" customHeight="1">
      <c r="A3190" s="1" t="str">
        <f>"IN30334010006969"</f>
        <v>IN30334010006969</v>
      </c>
      <c r="B3190" s="1" t="s">
        <v>11613</v>
      </c>
      <c r="C3190" s="1" t="s">
        <v>11614</v>
      </c>
      <c r="D3190" s="1" t="s">
        <v>11615</v>
      </c>
      <c r="E3190" s="1" t="s">
        <v>11616</v>
      </c>
      <c r="F3190" s="1"/>
      <c r="G3190" s="1">
        <v>691004</v>
      </c>
      <c r="H3190" s="1">
        <v>75</v>
      </c>
    </row>
    <row r="3191" spans="1:8" ht="21.75" customHeight="1">
      <c r="A3191" s="1" t="str">
        <f>"1203320003461324"</f>
        <v>1203320003461324</v>
      </c>
      <c r="B3191" s="1" t="s">
        <v>11617</v>
      </c>
      <c r="C3191" s="1" t="s">
        <v>11618</v>
      </c>
      <c r="D3191" s="1"/>
      <c r="E3191" s="1"/>
      <c r="F3191" s="1" t="s">
        <v>614</v>
      </c>
      <c r="G3191" s="1">
        <v>691005</v>
      </c>
      <c r="H3191" s="1">
        <v>90</v>
      </c>
    </row>
    <row r="3192" spans="1:8" ht="21.75" customHeight="1">
      <c r="A3192" s="1" t="str">
        <f>"IN30023914923756"</f>
        <v>IN30023914923756</v>
      </c>
      <c r="B3192" s="1" t="s">
        <v>11619</v>
      </c>
      <c r="C3192" s="1" t="s">
        <v>11620</v>
      </c>
      <c r="D3192" s="1" t="s">
        <v>11621</v>
      </c>
      <c r="E3192" s="1" t="s">
        <v>11622</v>
      </c>
      <c r="F3192" s="1"/>
      <c r="G3192" s="1">
        <v>691011</v>
      </c>
      <c r="H3192" s="1">
        <v>7.5</v>
      </c>
    </row>
    <row r="3193" spans="1:8" ht="21.75" customHeight="1">
      <c r="A3193" s="1" t="str">
        <f>"1204470002290725"</f>
        <v>1204470002290725</v>
      </c>
      <c r="B3193" s="1" t="s">
        <v>11623</v>
      </c>
      <c r="C3193" s="1" t="s">
        <v>11624</v>
      </c>
      <c r="D3193" s="1" t="s">
        <v>11625</v>
      </c>
      <c r="E3193" s="1"/>
      <c r="F3193" s="1" t="s">
        <v>614</v>
      </c>
      <c r="G3193" s="1">
        <v>691013</v>
      </c>
      <c r="H3193" s="1">
        <v>15</v>
      </c>
    </row>
    <row r="3194" spans="1:8" ht="21.75" customHeight="1">
      <c r="A3194" s="1" t="str">
        <f>"1202980000209523"</f>
        <v>1202980000209523</v>
      </c>
      <c r="B3194" s="1" t="s">
        <v>11626</v>
      </c>
      <c r="C3194" s="1" t="s">
        <v>11627</v>
      </c>
      <c r="D3194" s="1" t="s">
        <v>11628</v>
      </c>
      <c r="E3194" s="1"/>
      <c r="F3194" s="1" t="s">
        <v>614</v>
      </c>
      <c r="G3194" s="1">
        <v>691017</v>
      </c>
      <c r="H3194" s="1">
        <v>5.25</v>
      </c>
    </row>
    <row r="3195" spans="1:8" ht="21.75" customHeight="1">
      <c r="A3195" s="1" t="str">
        <f>"IN30039416918107"</f>
        <v>IN30039416918107</v>
      </c>
      <c r="B3195" s="1" t="s">
        <v>11629</v>
      </c>
      <c r="C3195" s="1" t="s">
        <v>11630</v>
      </c>
      <c r="D3195" s="1" t="s">
        <v>11631</v>
      </c>
      <c r="E3195" s="1" t="s">
        <v>614</v>
      </c>
      <c r="F3195" s="1"/>
      <c r="G3195" s="1">
        <v>691026</v>
      </c>
      <c r="H3195" s="1">
        <v>1.5</v>
      </c>
    </row>
    <row r="3196" spans="1:8" ht="21.75" customHeight="1">
      <c r="A3196" s="1" t="str">
        <f>"1201090012665682"</f>
        <v>1201090012665682</v>
      </c>
      <c r="B3196" s="1" t="s">
        <v>11632</v>
      </c>
      <c r="C3196" s="1" t="s">
        <v>11633</v>
      </c>
      <c r="D3196" s="1" t="s">
        <v>11634</v>
      </c>
      <c r="E3196" s="1" t="s">
        <v>5397</v>
      </c>
      <c r="F3196" s="1" t="s">
        <v>614</v>
      </c>
      <c r="G3196" s="1">
        <v>691301</v>
      </c>
      <c r="H3196" s="1">
        <v>75</v>
      </c>
    </row>
    <row r="3197" spans="1:8" ht="21.75" customHeight="1">
      <c r="A3197" s="1" t="str">
        <f>"1201090012848833"</f>
        <v>1201090012848833</v>
      </c>
      <c r="B3197" s="1" t="s">
        <v>11635</v>
      </c>
      <c r="C3197" s="1" t="s">
        <v>11636</v>
      </c>
      <c r="D3197" s="1" t="s">
        <v>11637</v>
      </c>
      <c r="E3197" s="1" t="s">
        <v>10849</v>
      </c>
      <c r="F3197" s="1" t="s">
        <v>614</v>
      </c>
      <c r="G3197" s="1">
        <v>691301</v>
      </c>
      <c r="H3197" s="1">
        <v>112.5</v>
      </c>
    </row>
    <row r="3198" spans="1:8" ht="21.75" customHeight="1">
      <c r="A3198" s="1" t="str">
        <f>"1201090012857641"</f>
        <v>1201090012857641</v>
      </c>
      <c r="B3198" s="1" t="s">
        <v>11638</v>
      </c>
      <c r="C3198" s="1" t="s">
        <v>11639</v>
      </c>
      <c r="D3198" s="1" t="s">
        <v>11640</v>
      </c>
      <c r="E3198" s="1"/>
      <c r="F3198" s="1" t="s">
        <v>614</v>
      </c>
      <c r="G3198" s="1">
        <v>691302</v>
      </c>
      <c r="H3198" s="1">
        <v>3.75</v>
      </c>
    </row>
    <row r="3199" spans="1:8" ht="21.75" customHeight="1">
      <c r="A3199" s="1" t="str">
        <f>"IN30023913550311"</f>
        <v>IN30023913550311</v>
      </c>
      <c r="B3199" s="1" t="s">
        <v>11641</v>
      </c>
      <c r="C3199" s="1" t="s">
        <v>11642</v>
      </c>
      <c r="D3199" s="1" t="s">
        <v>11643</v>
      </c>
      <c r="E3199" s="1" t="s">
        <v>11571</v>
      </c>
      <c r="F3199" s="1"/>
      <c r="G3199" s="1">
        <v>691302</v>
      </c>
      <c r="H3199" s="1">
        <v>9</v>
      </c>
    </row>
    <row r="3200" spans="1:8" ht="21.75" customHeight="1">
      <c r="A3200" s="1" t="str">
        <f>"IN30226912845706"</f>
        <v>IN30226912845706</v>
      </c>
      <c r="B3200" s="1" t="s">
        <v>11644</v>
      </c>
      <c r="C3200" s="1" t="s">
        <v>11645</v>
      </c>
      <c r="D3200" s="1" t="s">
        <v>11646</v>
      </c>
      <c r="E3200" s="1" t="s">
        <v>11504</v>
      </c>
      <c r="F3200" s="1"/>
      <c r="G3200" s="1">
        <v>691305</v>
      </c>
      <c r="H3200" s="1">
        <v>74.25</v>
      </c>
    </row>
    <row r="3201" spans="1:8" ht="21.75" customHeight="1">
      <c r="A3201" s="1" t="str">
        <f>"1201090012607218"</f>
        <v>1201090012607218</v>
      </c>
      <c r="B3201" s="1" t="s">
        <v>11647</v>
      </c>
      <c r="C3201" s="1" t="s">
        <v>11648</v>
      </c>
      <c r="D3201" s="1" t="s">
        <v>11649</v>
      </c>
      <c r="E3201" s="1" t="s">
        <v>11650</v>
      </c>
      <c r="F3201" s="1" t="s">
        <v>614</v>
      </c>
      <c r="G3201" s="1">
        <v>691306</v>
      </c>
      <c r="H3201" s="1">
        <v>15.75</v>
      </c>
    </row>
    <row r="3202" spans="1:8" ht="21.75" customHeight="1">
      <c r="A3202" s="1" t="str">
        <f>"IN30163740869300"</f>
        <v>IN30163740869300</v>
      </c>
      <c r="B3202" s="1" t="s">
        <v>11651</v>
      </c>
      <c r="C3202" s="1" t="s">
        <v>11652</v>
      </c>
      <c r="D3202" s="1" t="s">
        <v>11653</v>
      </c>
      <c r="E3202" s="1" t="s">
        <v>11654</v>
      </c>
      <c r="F3202" s="1"/>
      <c r="G3202" s="1">
        <v>691306</v>
      </c>
      <c r="H3202" s="1">
        <v>150</v>
      </c>
    </row>
    <row r="3203" spans="1:8" ht="21.75" customHeight="1">
      <c r="A3203" s="1" t="str">
        <f>"IN30023913819215"</f>
        <v>IN30023913819215</v>
      </c>
      <c r="B3203" s="1" t="s">
        <v>11655</v>
      </c>
      <c r="C3203" s="1" t="s">
        <v>11656</v>
      </c>
      <c r="D3203" s="1" t="s">
        <v>11657</v>
      </c>
      <c r="E3203" s="1" t="s">
        <v>11571</v>
      </c>
      <c r="F3203" s="1"/>
      <c r="G3203" s="1">
        <v>691331</v>
      </c>
      <c r="H3203" s="1">
        <v>187.5</v>
      </c>
    </row>
    <row r="3204" spans="1:8" ht="21.75" customHeight="1">
      <c r="A3204" s="1" t="str">
        <f>"1204720010423383"</f>
        <v>1204720010423383</v>
      </c>
      <c r="B3204" s="1" t="s">
        <v>11658</v>
      </c>
      <c r="C3204" s="1" t="s">
        <v>11659</v>
      </c>
      <c r="D3204" s="1" t="s">
        <v>11660</v>
      </c>
      <c r="E3204" s="1" t="s">
        <v>410</v>
      </c>
      <c r="F3204" s="1" t="s">
        <v>614</v>
      </c>
      <c r="G3204" s="1">
        <v>691502</v>
      </c>
      <c r="H3204" s="1">
        <v>36.75</v>
      </c>
    </row>
    <row r="3205" spans="1:8" ht="21.75" customHeight="1">
      <c r="A3205" s="1" t="str">
        <f>"IN30023912904300"</f>
        <v>IN30023912904300</v>
      </c>
      <c r="B3205" s="1" t="s">
        <v>11661</v>
      </c>
      <c r="C3205" s="1" t="s">
        <v>11662</v>
      </c>
      <c r="D3205" s="1" t="s">
        <v>11663</v>
      </c>
      <c r="E3205" s="1" t="s">
        <v>11664</v>
      </c>
      <c r="F3205" s="1"/>
      <c r="G3205" s="1">
        <v>691507</v>
      </c>
      <c r="H3205" s="1">
        <v>15.75</v>
      </c>
    </row>
    <row r="3206" spans="1:8" ht="21.75" customHeight="1">
      <c r="A3206" s="1" t="str">
        <f>"IN30163740365288"</f>
        <v>IN30163740365288</v>
      </c>
      <c r="B3206" s="1" t="s">
        <v>11665</v>
      </c>
      <c r="C3206" s="1" t="s">
        <v>11666</v>
      </c>
      <c r="D3206" s="1" t="s">
        <v>11667</v>
      </c>
      <c r="E3206" s="1" t="s">
        <v>11668</v>
      </c>
      <c r="F3206" s="1"/>
      <c r="G3206" s="1">
        <v>691512</v>
      </c>
      <c r="H3206" s="1">
        <v>124.5</v>
      </c>
    </row>
    <row r="3207" spans="1:8" ht="21.75" customHeight="1">
      <c r="A3207" s="1" t="str">
        <f>"1203280000234720"</f>
        <v>1203280000234720</v>
      </c>
      <c r="B3207" s="1" t="s">
        <v>11669</v>
      </c>
      <c r="C3207" s="1" t="s">
        <v>11670</v>
      </c>
      <c r="D3207" s="1" t="s">
        <v>11671</v>
      </c>
      <c r="E3207" s="1" t="s">
        <v>11672</v>
      </c>
      <c r="F3207" s="1" t="s">
        <v>614</v>
      </c>
      <c r="G3207" s="1">
        <v>691516</v>
      </c>
      <c r="H3207" s="1">
        <v>73.5</v>
      </c>
    </row>
    <row r="3208" spans="1:8" ht="21.75" customHeight="1">
      <c r="A3208" s="1" t="str">
        <f>"IN30089610349929"</f>
        <v>IN30089610349929</v>
      </c>
      <c r="B3208" s="1" t="s">
        <v>11673</v>
      </c>
      <c r="C3208" s="1" t="s">
        <v>11674</v>
      </c>
      <c r="D3208" s="1" t="s">
        <v>11675</v>
      </c>
      <c r="E3208" s="1" t="s">
        <v>11676</v>
      </c>
      <c r="F3208" s="1"/>
      <c r="G3208" s="1">
        <v>691523</v>
      </c>
      <c r="H3208" s="1">
        <v>144.75</v>
      </c>
    </row>
    <row r="3209" spans="1:8" ht="21.75" customHeight="1">
      <c r="A3209" s="1" t="str">
        <f>"1201090012860711"</f>
        <v>1201090012860711</v>
      </c>
      <c r="B3209" s="1" t="s">
        <v>11678</v>
      </c>
      <c r="C3209" s="1" t="s">
        <v>11679</v>
      </c>
      <c r="D3209" s="1" t="s">
        <v>11680</v>
      </c>
      <c r="E3209" s="1" t="s">
        <v>410</v>
      </c>
      <c r="F3209" s="1" t="s">
        <v>470</v>
      </c>
      <c r="G3209" s="1">
        <v>691523</v>
      </c>
      <c r="H3209" s="1">
        <v>225.75</v>
      </c>
    </row>
    <row r="3210" spans="1:8" ht="21.75" customHeight="1">
      <c r="A3210" s="1" t="str">
        <f>"IN30023910620980"</f>
        <v>IN30023910620980</v>
      </c>
      <c r="B3210" s="1" t="s">
        <v>11681</v>
      </c>
      <c r="C3210" s="1" t="s">
        <v>11682</v>
      </c>
      <c r="D3210" s="1" t="s">
        <v>11683</v>
      </c>
      <c r="E3210" s="1" t="s">
        <v>11684</v>
      </c>
      <c r="F3210" s="1"/>
      <c r="G3210" s="1">
        <v>691531</v>
      </c>
      <c r="H3210" s="1">
        <v>112.5</v>
      </c>
    </row>
    <row r="3211" spans="1:8" ht="21.75" customHeight="1">
      <c r="A3211" s="1" t="str">
        <f>"1201090012619483"</f>
        <v>1201090012619483</v>
      </c>
      <c r="B3211" s="1" t="s">
        <v>11685</v>
      </c>
      <c r="C3211" s="1" t="s">
        <v>11686</v>
      </c>
      <c r="D3211" s="1" t="s">
        <v>11687</v>
      </c>
      <c r="E3211" s="1" t="s">
        <v>11688</v>
      </c>
      <c r="F3211" s="1" t="s">
        <v>614</v>
      </c>
      <c r="G3211" s="1">
        <v>691531</v>
      </c>
      <c r="H3211" s="1">
        <v>0.75</v>
      </c>
    </row>
    <row r="3212" spans="1:8" ht="21.75" customHeight="1">
      <c r="A3212" s="1" t="str">
        <f>"IN30023913123579"</f>
        <v>IN30023913123579</v>
      </c>
      <c r="B3212" s="1" t="s">
        <v>11689</v>
      </c>
      <c r="C3212" s="1" t="s">
        <v>11690</v>
      </c>
      <c r="D3212" s="1" t="s">
        <v>11691</v>
      </c>
      <c r="E3212" s="1" t="s">
        <v>11692</v>
      </c>
      <c r="F3212" s="1"/>
      <c r="G3212" s="1">
        <v>691532</v>
      </c>
      <c r="H3212" s="1">
        <v>22.5</v>
      </c>
    </row>
    <row r="3213" spans="1:8" ht="21.75" customHeight="1">
      <c r="A3213" s="1" t="str">
        <f>"1201330000488545"</f>
        <v>1201330000488545</v>
      </c>
      <c r="B3213" s="1" t="s">
        <v>11693</v>
      </c>
      <c r="C3213" s="1" t="s">
        <v>11694</v>
      </c>
      <c r="D3213" s="1" t="s">
        <v>11695</v>
      </c>
      <c r="E3213" s="1" t="s">
        <v>614</v>
      </c>
      <c r="F3213" s="1" t="s">
        <v>614</v>
      </c>
      <c r="G3213" s="1">
        <v>691533</v>
      </c>
      <c r="H3213" s="1">
        <v>6</v>
      </c>
    </row>
    <row r="3214" spans="1:8" ht="21.75" customHeight="1">
      <c r="A3214" s="1" t="str">
        <f>"1201090012719811"</f>
        <v>1201090012719811</v>
      </c>
      <c r="B3214" s="1" t="s">
        <v>11696</v>
      </c>
      <c r="C3214" s="1" t="s">
        <v>11697</v>
      </c>
      <c r="D3214" s="1" t="s">
        <v>11698</v>
      </c>
      <c r="E3214" s="1" t="s">
        <v>11699</v>
      </c>
      <c r="F3214" s="1" t="s">
        <v>609</v>
      </c>
      <c r="G3214" s="1">
        <v>691539</v>
      </c>
      <c r="H3214" s="1">
        <v>51.75</v>
      </c>
    </row>
    <row r="3215" spans="1:8" ht="21.75" customHeight="1">
      <c r="A3215" s="1" t="str">
        <f>"1201090012882556"</f>
        <v>1201090012882556</v>
      </c>
      <c r="B3215" s="1" t="s">
        <v>11700</v>
      </c>
      <c r="C3215" s="1" t="s">
        <v>11701</v>
      </c>
      <c r="D3215" s="1" t="s">
        <v>11702</v>
      </c>
      <c r="E3215" s="1" t="s">
        <v>11703</v>
      </c>
      <c r="F3215" s="1" t="s">
        <v>609</v>
      </c>
      <c r="G3215" s="1">
        <v>691542</v>
      </c>
      <c r="H3215" s="1">
        <v>0.75</v>
      </c>
    </row>
    <row r="3216" spans="1:8" ht="21.75" customHeight="1">
      <c r="A3216" s="1" t="str">
        <f>"IN30039416209158"</f>
        <v>IN30039416209158</v>
      </c>
      <c r="B3216" s="1" t="s">
        <v>11704</v>
      </c>
      <c r="C3216" s="1" t="s">
        <v>11705</v>
      </c>
      <c r="D3216" s="1" t="s">
        <v>11706</v>
      </c>
      <c r="E3216" s="1" t="s">
        <v>11707</v>
      </c>
      <c r="F3216" s="1"/>
      <c r="G3216" s="1">
        <v>691551</v>
      </c>
      <c r="H3216" s="1">
        <v>0.75</v>
      </c>
    </row>
    <row r="3217" spans="1:8" ht="21.75" customHeight="1">
      <c r="A3217" s="1" t="str">
        <f>"1204470001186596"</f>
        <v>1204470001186596</v>
      </c>
      <c r="B3217" s="1" t="s">
        <v>11708</v>
      </c>
      <c r="C3217" s="1" t="s">
        <v>11709</v>
      </c>
      <c r="D3217" s="1" t="s">
        <v>11710</v>
      </c>
      <c r="E3217" s="1"/>
      <c r="F3217" s="1" t="s">
        <v>11677</v>
      </c>
      <c r="G3217" s="1">
        <v>691553</v>
      </c>
      <c r="H3217" s="1">
        <v>15.75</v>
      </c>
    </row>
    <row r="3218" spans="1:8" ht="21.75" customHeight="1">
      <c r="A3218" s="1" t="str">
        <f>"1205670000076366"</f>
        <v>1205670000076366</v>
      </c>
      <c r="B3218" s="1" t="s">
        <v>11711</v>
      </c>
      <c r="C3218" s="1" t="s">
        <v>11712</v>
      </c>
      <c r="D3218" s="1" t="s">
        <v>11713</v>
      </c>
      <c r="E3218" s="1" t="s">
        <v>11677</v>
      </c>
      <c r="F3218" s="1" t="s">
        <v>11677</v>
      </c>
      <c r="G3218" s="1">
        <v>691553</v>
      </c>
      <c r="H3218" s="1">
        <v>3.75</v>
      </c>
    </row>
    <row r="3219" spans="1:8" ht="21.75" customHeight="1">
      <c r="A3219" s="1" t="str">
        <f>"1204470002409776"</f>
        <v>1204470002409776</v>
      </c>
      <c r="B3219" s="1" t="s">
        <v>11714</v>
      </c>
      <c r="C3219" s="1" t="s">
        <v>11715</v>
      </c>
      <c r="D3219" s="1" t="s">
        <v>11716</v>
      </c>
      <c r="E3219" s="1" t="s">
        <v>5558</v>
      </c>
      <c r="F3219" s="1" t="s">
        <v>614</v>
      </c>
      <c r="G3219" s="1">
        <v>691571</v>
      </c>
      <c r="H3219" s="1">
        <v>1355.5</v>
      </c>
    </row>
    <row r="3220" spans="1:8" ht="21.75" customHeight="1">
      <c r="A3220" s="1" t="str">
        <f>"1204470006490197"</f>
        <v>1204470006490197</v>
      </c>
      <c r="B3220" s="1" t="s">
        <v>11717</v>
      </c>
      <c r="C3220" s="1" t="s">
        <v>11718</v>
      </c>
      <c r="D3220" s="1" t="s">
        <v>11719</v>
      </c>
      <c r="E3220" s="1"/>
      <c r="F3220" s="1" t="s">
        <v>11273</v>
      </c>
      <c r="G3220" s="1">
        <v>691572</v>
      </c>
      <c r="H3220" s="1">
        <v>38.25</v>
      </c>
    </row>
    <row r="3221" spans="1:8" ht="21.75" customHeight="1">
      <c r="A3221" s="1" t="str">
        <f>"1201090012714832"</f>
        <v>1201090012714832</v>
      </c>
      <c r="B3221" s="1" t="s">
        <v>11720</v>
      </c>
      <c r="C3221" s="1" t="s">
        <v>11721</v>
      </c>
      <c r="D3221" s="1" t="s">
        <v>11722</v>
      </c>
      <c r="E3221" s="1" t="s">
        <v>11723</v>
      </c>
      <c r="F3221" s="1" t="s">
        <v>614</v>
      </c>
      <c r="G3221" s="1">
        <v>691574</v>
      </c>
      <c r="H3221" s="1">
        <v>51.75</v>
      </c>
    </row>
    <row r="3222" spans="1:8" ht="21.75" customHeight="1">
      <c r="A3222" s="1" t="str">
        <f>"1204470004320232"</f>
        <v>1204470004320232</v>
      </c>
      <c r="B3222" s="1" t="s">
        <v>11724</v>
      </c>
      <c r="C3222" s="1" t="s">
        <v>11725</v>
      </c>
      <c r="D3222" s="1" t="s">
        <v>11726</v>
      </c>
      <c r="E3222" s="1" t="s">
        <v>11727</v>
      </c>
      <c r="F3222" s="1" t="s">
        <v>614</v>
      </c>
      <c r="G3222" s="1">
        <v>691574</v>
      </c>
      <c r="H3222" s="1">
        <v>29.25</v>
      </c>
    </row>
    <row r="3223" spans="1:8" ht="21.75" customHeight="1">
      <c r="A3223" s="1" t="str">
        <f>"IN30021414381804"</f>
        <v>IN30021414381804</v>
      </c>
      <c r="B3223" s="1" t="s">
        <v>11728</v>
      </c>
      <c r="C3223" s="1" t="s">
        <v>11729</v>
      </c>
      <c r="D3223" s="1" t="s">
        <v>614</v>
      </c>
      <c r="E3223" s="1" t="s">
        <v>11730</v>
      </c>
      <c r="F3223" s="1"/>
      <c r="G3223" s="1">
        <v>691574</v>
      </c>
      <c r="H3223" s="1">
        <v>11.25</v>
      </c>
    </row>
    <row r="3224" spans="1:8" ht="21.75" customHeight="1">
      <c r="A3224" s="1" t="str">
        <f>"1201090012627395"</f>
        <v>1201090012627395</v>
      </c>
      <c r="B3224" s="1" t="s">
        <v>11731</v>
      </c>
      <c r="C3224" s="1" t="s">
        <v>11732</v>
      </c>
      <c r="D3224" s="1" t="s">
        <v>11733</v>
      </c>
      <c r="E3224" s="1" t="s">
        <v>11734</v>
      </c>
      <c r="F3224" s="1" t="s">
        <v>614</v>
      </c>
      <c r="G3224" s="1">
        <v>691579</v>
      </c>
      <c r="H3224" s="1">
        <v>0.75</v>
      </c>
    </row>
    <row r="3225" spans="1:8" ht="21.75" customHeight="1">
      <c r="A3225" s="1" t="str">
        <f>"1201090012796416"</f>
        <v>1201090012796416</v>
      </c>
      <c r="B3225" s="1" t="s">
        <v>11735</v>
      </c>
      <c r="C3225" s="1" t="s">
        <v>11736</v>
      </c>
      <c r="D3225" s="1" t="s">
        <v>11737</v>
      </c>
      <c r="E3225" s="1"/>
      <c r="F3225" s="1" t="s">
        <v>614</v>
      </c>
      <c r="G3225" s="1">
        <v>691581</v>
      </c>
      <c r="H3225" s="1">
        <v>18.75</v>
      </c>
    </row>
    <row r="3226" spans="1:8" ht="21.75" customHeight="1">
      <c r="A3226" s="1" t="str">
        <f>"1201090012865631"</f>
        <v>1201090012865631</v>
      </c>
      <c r="B3226" s="1" t="s">
        <v>11738</v>
      </c>
      <c r="C3226" s="1" t="s">
        <v>11739</v>
      </c>
      <c r="D3226" s="1" t="s">
        <v>11740</v>
      </c>
      <c r="E3226" s="1" t="s">
        <v>11741</v>
      </c>
      <c r="F3226" s="1" t="s">
        <v>614</v>
      </c>
      <c r="G3226" s="1">
        <v>691585</v>
      </c>
      <c r="H3226" s="1">
        <v>41.25</v>
      </c>
    </row>
    <row r="3227" spans="1:8" ht="21.75" customHeight="1">
      <c r="A3227" s="1" t="str">
        <f>"1203320004427757"</f>
        <v>1203320004427757</v>
      </c>
      <c r="B3227" s="1" t="s">
        <v>11742</v>
      </c>
      <c r="C3227" s="1" t="s">
        <v>11743</v>
      </c>
      <c r="D3227" s="1" t="s">
        <v>11744</v>
      </c>
      <c r="E3227" s="1"/>
      <c r="F3227" s="1" t="s">
        <v>614</v>
      </c>
      <c r="G3227" s="1">
        <v>691589</v>
      </c>
      <c r="H3227" s="1">
        <v>6.75</v>
      </c>
    </row>
    <row r="3228" spans="1:8" ht="21.75" customHeight="1">
      <c r="A3228" s="1" t="str">
        <f>"IN30023910670997"</f>
        <v>IN30023910670997</v>
      </c>
      <c r="B3228" s="1" t="s">
        <v>11745</v>
      </c>
      <c r="C3228" s="1" t="s">
        <v>11746</v>
      </c>
      <c r="D3228" s="1" t="s">
        <v>11747</v>
      </c>
      <c r="E3228" s="1" t="s">
        <v>11748</v>
      </c>
      <c r="F3228" s="1"/>
      <c r="G3228" s="1">
        <v>691602</v>
      </c>
      <c r="H3228" s="1">
        <v>56.25</v>
      </c>
    </row>
    <row r="3229" spans="1:8" ht="21.75" customHeight="1">
      <c r="A3229" s="1" t="str">
        <f>"1202980000156419"</f>
        <v>1202980000156419</v>
      </c>
      <c r="B3229" s="1" t="s">
        <v>11749</v>
      </c>
      <c r="C3229" s="1" t="s">
        <v>11750</v>
      </c>
      <c r="D3229" s="1" t="s">
        <v>11751</v>
      </c>
      <c r="E3229" s="1"/>
      <c r="F3229" s="1" t="s">
        <v>615</v>
      </c>
      <c r="G3229" s="1">
        <v>695002</v>
      </c>
      <c r="H3229" s="1">
        <v>15</v>
      </c>
    </row>
    <row r="3230" spans="1:8" ht="21.75" customHeight="1">
      <c r="A3230" s="1" t="str">
        <f>"IN30023914357412"</f>
        <v>IN30023914357412</v>
      </c>
      <c r="B3230" s="1" t="s">
        <v>11752</v>
      </c>
      <c r="C3230" s="1" t="s">
        <v>11753</v>
      </c>
      <c r="D3230" s="1" t="s">
        <v>11754</v>
      </c>
      <c r="E3230" s="1" t="s">
        <v>11755</v>
      </c>
      <c r="F3230" s="1"/>
      <c r="G3230" s="1">
        <v>695002</v>
      </c>
      <c r="H3230" s="1">
        <v>7.5</v>
      </c>
    </row>
    <row r="3231" spans="1:8" ht="21.75" customHeight="1">
      <c r="A3231" s="1" t="str">
        <f>"1202390000218289"</f>
        <v>1202390000218289</v>
      </c>
      <c r="B3231" s="1" t="s">
        <v>11756</v>
      </c>
      <c r="C3231" s="1" t="s">
        <v>11757</v>
      </c>
      <c r="D3231" s="1" t="s">
        <v>11758</v>
      </c>
      <c r="E3231" s="1" t="s">
        <v>11759</v>
      </c>
      <c r="F3231" s="1" t="s">
        <v>11760</v>
      </c>
      <c r="G3231" s="1">
        <v>695003</v>
      </c>
      <c r="H3231" s="1">
        <v>600</v>
      </c>
    </row>
    <row r="3232" spans="1:8" ht="21.75" customHeight="1">
      <c r="A3232" s="1" t="str">
        <f>"IN30023912702027"</f>
        <v>IN30023912702027</v>
      </c>
      <c r="B3232" s="1" t="s">
        <v>11761</v>
      </c>
      <c r="C3232" s="1" t="s">
        <v>11762</v>
      </c>
      <c r="D3232" s="1" t="s">
        <v>11763</v>
      </c>
      <c r="E3232" s="1" t="s">
        <v>11764</v>
      </c>
      <c r="F3232" s="1"/>
      <c r="G3232" s="1">
        <v>695003</v>
      </c>
      <c r="H3232" s="1">
        <v>7.5</v>
      </c>
    </row>
    <row r="3233" spans="1:8" ht="21.75" customHeight="1">
      <c r="A3233" s="1" t="str">
        <f>"1201090012577530"</f>
        <v>1201090012577530</v>
      </c>
      <c r="B3233" s="1" t="s">
        <v>11765</v>
      </c>
      <c r="C3233" s="1" t="s">
        <v>11766</v>
      </c>
      <c r="D3233" s="1" t="s">
        <v>11767</v>
      </c>
      <c r="E3233" s="1" t="s">
        <v>11768</v>
      </c>
      <c r="F3233" s="1" t="s">
        <v>5572</v>
      </c>
      <c r="G3233" s="1">
        <v>695003</v>
      </c>
      <c r="H3233" s="1">
        <v>3</v>
      </c>
    </row>
    <row r="3234" spans="1:8" ht="21.75" customHeight="1">
      <c r="A3234" s="1" t="str">
        <f>"IN30021412225771"</f>
        <v>IN30021412225771</v>
      </c>
      <c r="B3234" s="1" t="s">
        <v>11769</v>
      </c>
      <c r="C3234" s="1" t="s">
        <v>11770</v>
      </c>
      <c r="D3234" s="1" t="s">
        <v>11771</v>
      </c>
      <c r="E3234" s="1" t="s">
        <v>11772</v>
      </c>
      <c r="F3234" s="1"/>
      <c r="G3234" s="1">
        <v>695003</v>
      </c>
      <c r="H3234" s="1">
        <v>217.5</v>
      </c>
    </row>
    <row r="3235" spans="1:8" ht="21.75" customHeight="1">
      <c r="A3235" s="1" t="str">
        <f>"IN30039416868838"</f>
        <v>IN30039416868838</v>
      </c>
      <c r="B3235" s="1" t="s">
        <v>11773</v>
      </c>
      <c r="C3235" s="1" t="s">
        <v>11774</v>
      </c>
      <c r="D3235" s="1" t="s">
        <v>11775</v>
      </c>
      <c r="E3235" s="1" t="s">
        <v>11776</v>
      </c>
      <c r="F3235" s="1"/>
      <c r="G3235" s="1">
        <v>695005</v>
      </c>
      <c r="H3235" s="1">
        <v>6</v>
      </c>
    </row>
    <row r="3236" spans="1:8" ht="21.75" customHeight="1">
      <c r="A3236" s="1" t="str">
        <f>"1204720011019862"</f>
        <v>1204720011019862</v>
      </c>
      <c r="B3236" s="1" t="s">
        <v>11777</v>
      </c>
      <c r="C3236" s="1" t="s">
        <v>11778</v>
      </c>
      <c r="D3236" s="1" t="s">
        <v>11779</v>
      </c>
      <c r="E3236" s="1" t="s">
        <v>11780</v>
      </c>
      <c r="F3236" s="1" t="s">
        <v>615</v>
      </c>
      <c r="G3236" s="1">
        <v>695009</v>
      </c>
      <c r="H3236" s="1">
        <v>75</v>
      </c>
    </row>
    <row r="3237" spans="1:8" ht="21.75" customHeight="1">
      <c r="A3237" s="1" t="str">
        <f>"1201090012882123"</f>
        <v>1201090012882123</v>
      </c>
      <c r="B3237" s="1" t="s">
        <v>11781</v>
      </c>
      <c r="C3237" s="1" t="s">
        <v>11782</v>
      </c>
      <c r="D3237" s="1" t="s">
        <v>11783</v>
      </c>
      <c r="E3237" s="1" t="s">
        <v>11784</v>
      </c>
      <c r="F3237" s="1" t="s">
        <v>5572</v>
      </c>
      <c r="G3237" s="1">
        <v>695009</v>
      </c>
      <c r="H3237" s="1">
        <v>72</v>
      </c>
    </row>
    <row r="3238" spans="1:8" ht="21.75" customHeight="1">
      <c r="A3238" s="1" t="str">
        <f>"1204720010603339"</f>
        <v>1204720010603339</v>
      </c>
      <c r="B3238" s="1" t="s">
        <v>11785</v>
      </c>
      <c r="C3238" s="1" t="s">
        <v>11786</v>
      </c>
      <c r="D3238" s="1" t="s">
        <v>11787</v>
      </c>
      <c r="E3238" s="1" t="s">
        <v>410</v>
      </c>
      <c r="F3238" s="1" t="s">
        <v>615</v>
      </c>
      <c r="G3238" s="1">
        <v>695011</v>
      </c>
      <c r="H3238" s="1">
        <v>75</v>
      </c>
    </row>
    <row r="3239" spans="1:8" ht="21.75" customHeight="1">
      <c r="A3239" s="1" t="str">
        <f>"IN30021415062874"</f>
        <v>IN30021415062874</v>
      </c>
      <c r="B3239" s="1" t="s">
        <v>11788</v>
      </c>
      <c r="C3239" s="1" t="s">
        <v>11789</v>
      </c>
      <c r="D3239" s="1" t="s">
        <v>11790</v>
      </c>
      <c r="E3239" s="1" t="s">
        <v>11791</v>
      </c>
      <c r="F3239" s="1"/>
      <c r="G3239" s="1">
        <v>695011</v>
      </c>
      <c r="H3239" s="1">
        <v>247.5</v>
      </c>
    </row>
    <row r="3240" spans="1:8" ht="21.75" customHeight="1">
      <c r="A3240" s="1" t="str">
        <f>"IN30023912654344"</f>
        <v>IN30023912654344</v>
      </c>
      <c r="B3240" s="1" t="s">
        <v>11792</v>
      </c>
      <c r="C3240" s="1" t="s">
        <v>11793</v>
      </c>
      <c r="D3240" s="1" t="s">
        <v>11794</v>
      </c>
      <c r="E3240" s="1" t="s">
        <v>11795</v>
      </c>
      <c r="F3240" s="1"/>
      <c r="G3240" s="1">
        <v>695011</v>
      </c>
      <c r="H3240" s="1">
        <v>22.5</v>
      </c>
    </row>
    <row r="3241" spans="1:8" ht="21.75" customHeight="1">
      <c r="A3241" s="1" t="str">
        <f>"1204760000227508"</f>
        <v>1204760000227508</v>
      </c>
      <c r="B3241" s="1" t="s">
        <v>11796</v>
      </c>
      <c r="C3241" s="1" t="s">
        <v>11797</v>
      </c>
      <c r="D3241" s="1" t="s">
        <v>11798</v>
      </c>
      <c r="E3241" s="1" t="s">
        <v>11799</v>
      </c>
      <c r="F3241" s="1" t="s">
        <v>615</v>
      </c>
      <c r="G3241" s="1">
        <v>695013</v>
      </c>
      <c r="H3241" s="1">
        <v>75</v>
      </c>
    </row>
    <row r="3242" spans="1:8" ht="21.75" customHeight="1">
      <c r="A3242" s="1" t="str">
        <f>"1204720011144647"</f>
        <v>1204720011144647</v>
      </c>
      <c r="B3242" s="1" t="s">
        <v>11800</v>
      </c>
      <c r="C3242" s="1" t="s">
        <v>11801</v>
      </c>
      <c r="D3242" s="1" t="s">
        <v>11802</v>
      </c>
      <c r="E3242" s="1" t="s">
        <v>11803</v>
      </c>
      <c r="F3242" s="1" t="s">
        <v>5572</v>
      </c>
      <c r="G3242" s="1">
        <v>695015</v>
      </c>
      <c r="H3242" s="1">
        <v>7.5</v>
      </c>
    </row>
    <row r="3243" spans="1:8" ht="21.75" customHeight="1">
      <c r="A3243" s="1" t="str">
        <f>"IN30039412253190"</f>
        <v>IN30039412253190</v>
      </c>
      <c r="B3243" s="1" t="s">
        <v>11804</v>
      </c>
      <c r="C3243" s="1" t="s">
        <v>11805</v>
      </c>
      <c r="D3243" s="1" t="s">
        <v>11806</v>
      </c>
      <c r="E3243" s="1" t="s">
        <v>11807</v>
      </c>
      <c r="F3243" s="1"/>
      <c r="G3243" s="1">
        <v>695015</v>
      </c>
      <c r="H3243" s="1">
        <v>235.5</v>
      </c>
    </row>
    <row r="3244" spans="1:8" ht="21.75" customHeight="1">
      <c r="A3244" s="1" t="str">
        <f>"1201090012574656"</f>
        <v>1201090012574656</v>
      </c>
      <c r="B3244" s="1" t="s">
        <v>11808</v>
      </c>
      <c r="C3244" s="1" t="s">
        <v>11809</v>
      </c>
      <c r="D3244" s="1" t="s">
        <v>11810</v>
      </c>
      <c r="E3244" s="1" t="s">
        <v>11811</v>
      </c>
      <c r="F3244" s="1" t="s">
        <v>5572</v>
      </c>
      <c r="G3244" s="1">
        <v>695020</v>
      </c>
      <c r="H3244" s="1">
        <v>178.5</v>
      </c>
    </row>
    <row r="3245" spans="1:8" ht="21.75" customHeight="1">
      <c r="A3245" s="1" t="str">
        <f>"IN30177414240756"</f>
        <v>IN30177414240756</v>
      </c>
      <c r="B3245" s="1" t="s">
        <v>11812</v>
      </c>
      <c r="C3245" s="1" t="s">
        <v>11813</v>
      </c>
      <c r="D3245" s="1" t="s">
        <v>1049</v>
      </c>
      <c r="E3245" s="1" t="s">
        <v>11814</v>
      </c>
      <c r="F3245" s="1"/>
      <c r="G3245" s="1">
        <v>695020</v>
      </c>
      <c r="H3245" s="1">
        <v>3.75</v>
      </c>
    </row>
    <row r="3246" spans="1:8" ht="21.75" customHeight="1">
      <c r="A3246" s="1" t="str">
        <f>"IN30023913572140"</f>
        <v>IN30023913572140</v>
      </c>
      <c r="B3246" s="1" t="s">
        <v>11815</v>
      </c>
      <c r="C3246" s="1" t="s">
        <v>11816</v>
      </c>
      <c r="D3246" s="1" t="s">
        <v>11817</v>
      </c>
      <c r="E3246" s="1" t="s">
        <v>11818</v>
      </c>
      <c r="F3246" s="1"/>
      <c r="G3246" s="1">
        <v>695020</v>
      </c>
      <c r="H3246" s="1">
        <v>61.5</v>
      </c>
    </row>
    <row r="3247" spans="1:8" ht="21.75" customHeight="1">
      <c r="A3247" s="1" t="str">
        <f>"IN30163740808757"</f>
        <v>IN30163740808757</v>
      </c>
      <c r="B3247" s="1" t="s">
        <v>11819</v>
      </c>
      <c r="C3247" s="1" t="s">
        <v>11820</v>
      </c>
      <c r="D3247" s="1" t="s">
        <v>11821</v>
      </c>
      <c r="E3247" s="1" t="s">
        <v>11822</v>
      </c>
      <c r="F3247" s="1"/>
      <c r="G3247" s="1">
        <v>695024</v>
      </c>
      <c r="H3247" s="1">
        <v>7.5</v>
      </c>
    </row>
    <row r="3248" spans="1:8" ht="21.75" customHeight="1">
      <c r="A3248" s="1" t="str">
        <f>"1204720010615279"</f>
        <v>1204720010615279</v>
      </c>
      <c r="B3248" s="1" t="s">
        <v>11823</v>
      </c>
      <c r="C3248" s="1" t="s">
        <v>11824</v>
      </c>
      <c r="D3248" s="1" t="s">
        <v>11825</v>
      </c>
      <c r="E3248" s="1" t="s">
        <v>11826</v>
      </c>
      <c r="F3248" s="1" t="s">
        <v>615</v>
      </c>
      <c r="G3248" s="1">
        <v>695032</v>
      </c>
      <c r="H3248" s="1">
        <v>150</v>
      </c>
    </row>
    <row r="3249" spans="1:8" ht="21.75" customHeight="1">
      <c r="A3249" s="1" t="str">
        <f>"IN30189510515736"</f>
        <v>IN30189510515736</v>
      </c>
      <c r="B3249" s="1" t="s">
        <v>11827</v>
      </c>
      <c r="C3249" s="1" t="s">
        <v>5125</v>
      </c>
      <c r="D3249" s="1" t="s">
        <v>11828</v>
      </c>
      <c r="E3249" s="1" t="s">
        <v>11829</v>
      </c>
      <c r="F3249" s="1"/>
      <c r="G3249" s="1">
        <v>695101</v>
      </c>
      <c r="H3249" s="1">
        <v>21.75</v>
      </c>
    </row>
    <row r="3250" spans="1:8" ht="21.75" customHeight="1">
      <c r="A3250" s="1" t="str">
        <f>"IN30023913491567"</f>
        <v>IN30023913491567</v>
      </c>
      <c r="B3250" s="1" t="s">
        <v>11830</v>
      </c>
      <c r="C3250" s="1" t="s">
        <v>11831</v>
      </c>
      <c r="D3250" s="1" t="s">
        <v>11832</v>
      </c>
      <c r="E3250" s="1" t="s">
        <v>11833</v>
      </c>
      <c r="F3250" s="1"/>
      <c r="G3250" s="1">
        <v>695101</v>
      </c>
      <c r="H3250" s="1">
        <v>37.5</v>
      </c>
    </row>
    <row r="3251" spans="1:8" ht="21.75" customHeight="1">
      <c r="A3251" s="1" t="str">
        <f>"1201090012607714"</f>
        <v>1201090012607714</v>
      </c>
      <c r="B3251" s="1" t="s">
        <v>11834</v>
      </c>
      <c r="C3251" s="1" t="s">
        <v>11835</v>
      </c>
      <c r="D3251" s="1" t="s">
        <v>11836</v>
      </c>
      <c r="E3251" s="1" t="s">
        <v>11837</v>
      </c>
      <c r="F3251" s="1" t="s">
        <v>5572</v>
      </c>
      <c r="G3251" s="1">
        <v>695102</v>
      </c>
      <c r="H3251" s="1">
        <v>182.25</v>
      </c>
    </row>
    <row r="3252" spans="1:8" ht="21.75" customHeight="1">
      <c r="A3252" s="1" t="str">
        <f>"1205670000064071"</f>
        <v>1205670000064071</v>
      </c>
      <c r="B3252" s="1" t="s">
        <v>11838</v>
      </c>
      <c r="C3252" s="1" t="s">
        <v>11839</v>
      </c>
      <c r="D3252" s="1" t="s">
        <v>11840</v>
      </c>
      <c r="E3252" s="1" t="s">
        <v>11841</v>
      </c>
      <c r="F3252" s="1" t="s">
        <v>615</v>
      </c>
      <c r="G3252" s="1">
        <v>695121</v>
      </c>
      <c r="H3252" s="1">
        <v>375</v>
      </c>
    </row>
    <row r="3253" spans="1:8" ht="21.75" customHeight="1">
      <c r="A3253" s="1" t="str">
        <f>"IN30039416525779"</f>
        <v>IN30039416525779</v>
      </c>
      <c r="B3253" s="1" t="s">
        <v>11842</v>
      </c>
      <c r="C3253" s="1" t="s">
        <v>11843</v>
      </c>
      <c r="D3253" s="1" t="s">
        <v>11844</v>
      </c>
      <c r="E3253" s="1" t="s">
        <v>11845</v>
      </c>
      <c r="F3253" s="1"/>
      <c r="G3253" s="1">
        <v>695122</v>
      </c>
      <c r="H3253" s="1">
        <v>93.75</v>
      </c>
    </row>
    <row r="3254" spans="1:8" ht="21.75" customHeight="1">
      <c r="A3254" s="1" t="str">
        <f>"IN30039417833827"</f>
        <v>IN30039417833827</v>
      </c>
      <c r="B3254" s="1" t="s">
        <v>11846</v>
      </c>
      <c r="C3254" s="1" t="s">
        <v>11847</v>
      </c>
      <c r="D3254" s="1" t="s">
        <v>11848</v>
      </c>
      <c r="E3254" s="1" t="s">
        <v>615</v>
      </c>
      <c r="F3254" s="1"/>
      <c r="G3254" s="1">
        <v>695128</v>
      </c>
      <c r="H3254" s="1">
        <v>37.5</v>
      </c>
    </row>
    <row r="3255" spans="1:8" ht="21.75" customHeight="1">
      <c r="A3255" s="1" t="str">
        <f>"IN30023910956945"</f>
        <v>IN30023910956945</v>
      </c>
      <c r="B3255" s="1" t="s">
        <v>11849</v>
      </c>
      <c r="C3255" s="1" t="s">
        <v>11850</v>
      </c>
      <c r="D3255" s="1" t="s">
        <v>11851</v>
      </c>
      <c r="E3255" s="1" t="s">
        <v>11852</v>
      </c>
      <c r="F3255" s="1"/>
      <c r="G3255" s="1">
        <v>695304</v>
      </c>
      <c r="H3255" s="1">
        <v>72</v>
      </c>
    </row>
    <row r="3256" spans="1:8" ht="21.75" customHeight="1">
      <c r="A3256" s="1" t="str">
        <f>"1202980000206138"</f>
        <v>1202980000206138</v>
      </c>
      <c r="B3256" s="1" t="s">
        <v>11853</v>
      </c>
      <c r="C3256" s="1" t="s">
        <v>11854</v>
      </c>
      <c r="D3256" s="1" t="s">
        <v>11855</v>
      </c>
      <c r="E3256" s="1" t="s">
        <v>11856</v>
      </c>
      <c r="F3256" s="1" t="s">
        <v>615</v>
      </c>
      <c r="G3256" s="1">
        <v>695305</v>
      </c>
      <c r="H3256" s="1">
        <v>150</v>
      </c>
    </row>
    <row r="3257" spans="1:8" ht="21.75" customHeight="1">
      <c r="A3257" s="1" t="str">
        <f>"1201090012715568"</f>
        <v>1201090012715568</v>
      </c>
      <c r="B3257" s="1" t="s">
        <v>11857</v>
      </c>
      <c r="C3257" s="1" t="s">
        <v>11858</v>
      </c>
      <c r="D3257" s="1" t="s">
        <v>11859</v>
      </c>
      <c r="E3257" s="1" t="s">
        <v>11860</v>
      </c>
      <c r="F3257" s="1" t="s">
        <v>5572</v>
      </c>
      <c r="G3257" s="1">
        <v>695305</v>
      </c>
      <c r="H3257" s="1">
        <v>92.25</v>
      </c>
    </row>
    <row r="3258" spans="1:8" ht="21.75" customHeight="1">
      <c r="A3258" s="1" t="str">
        <f>"IN30023913154688"</f>
        <v>IN30023913154688</v>
      </c>
      <c r="B3258" s="1" t="s">
        <v>11861</v>
      </c>
      <c r="C3258" s="1" t="s">
        <v>11862</v>
      </c>
      <c r="D3258" s="1" t="s">
        <v>11863</v>
      </c>
      <c r="E3258" s="1" t="s">
        <v>11864</v>
      </c>
      <c r="F3258" s="1"/>
      <c r="G3258" s="1">
        <v>695306</v>
      </c>
      <c r="H3258" s="1">
        <v>2.25</v>
      </c>
    </row>
    <row r="3259" spans="1:8" ht="21.75" customHeight="1">
      <c r="A3259" s="1" t="str">
        <f>"1204760000094643"</f>
        <v>1204760000094643</v>
      </c>
      <c r="B3259" s="1" t="s">
        <v>11865</v>
      </c>
      <c r="C3259" s="1" t="s">
        <v>11866</v>
      </c>
      <c r="D3259" s="1" t="s">
        <v>11867</v>
      </c>
      <c r="E3259" s="1"/>
      <c r="F3259" s="1" t="s">
        <v>5572</v>
      </c>
      <c r="G3259" s="1">
        <v>695525</v>
      </c>
      <c r="H3259" s="1">
        <v>37.5</v>
      </c>
    </row>
    <row r="3260" spans="1:8" ht="21.75" customHeight="1">
      <c r="A3260" s="1" t="str">
        <f>"IN30189510519924"</f>
        <v>IN30189510519924</v>
      </c>
      <c r="B3260" s="1" t="s">
        <v>11868</v>
      </c>
      <c r="C3260" s="1" t="s">
        <v>11869</v>
      </c>
      <c r="D3260" s="1" t="s">
        <v>11870</v>
      </c>
      <c r="E3260" s="1" t="s">
        <v>11871</v>
      </c>
      <c r="F3260" s="1"/>
      <c r="G3260" s="1">
        <v>695541</v>
      </c>
      <c r="H3260" s="1">
        <v>225</v>
      </c>
    </row>
    <row r="3261" spans="1:8" ht="21.75" customHeight="1">
      <c r="A3261" s="1" t="str">
        <f>"1202980000154084"</f>
        <v>1202980000154084</v>
      </c>
      <c r="B3261" s="1" t="s">
        <v>11872</v>
      </c>
      <c r="C3261" s="1" t="s">
        <v>11873</v>
      </c>
      <c r="D3261" s="1" t="s">
        <v>11874</v>
      </c>
      <c r="E3261" s="1" t="s">
        <v>11875</v>
      </c>
      <c r="F3261" s="1" t="s">
        <v>11876</v>
      </c>
      <c r="G3261" s="1">
        <v>695541</v>
      </c>
      <c r="H3261" s="1">
        <v>375</v>
      </c>
    </row>
    <row r="3262" spans="1:8" ht="21.75" customHeight="1">
      <c r="A3262" s="1" t="str">
        <f>"1201910102418781"</f>
        <v>1201910102418781</v>
      </c>
      <c r="B3262" s="1" t="s">
        <v>11877</v>
      </c>
      <c r="C3262" s="1" t="s">
        <v>11878</v>
      </c>
      <c r="D3262" s="1" t="s">
        <v>11879</v>
      </c>
      <c r="E3262" s="1" t="s">
        <v>11880</v>
      </c>
      <c r="F3262" s="1" t="s">
        <v>11876</v>
      </c>
      <c r="G3262" s="1">
        <v>695541</v>
      </c>
      <c r="H3262" s="1">
        <v>0.75</v>
      </c>
    </row>
    <row r="3263" spans="1:8" ht="21.75" customHeight="1">
      <c r="A3263" s="1" t="str">
        <f>"IN30189510683616"</f>
        <v>IN30189510683616</v>
      </c>
      <c r="B3263" s="1" t="s">
        <v>11881</v>
      </c>
      <c r="C3263" s="1" t="s">
        <v>11882</v>
      </c>
      <c r="D3263" s="1" t="s">
        <v>11883</v>
      </c>
      <c r="E3263" s="1" t="s">
        <v>11884</v>
      </c>
      <c r="F3263" s="1"/>
      <c r="G3263" s="1">
        <v>695541</v>
      </c>
      <c r="H3263" s="1">
        <v>0.75</v>
      </c>
    </row>
    <row r="3264" spans="1:8" ht="21.75" customHeight="1">
      <c r="A3264" s="1" t="str">
        <f>"1201910102347345"</f>
        <v>1201910102347345</v>
      </c>
      <c r="B3264" s="1" t="s">
        <v>11885</v>
      </c>
      <c r="C3264" s="1" t="s">
        <v>11886</v>
      </c>
      <c r="D3264" s="1" t="s">
        <v>11887</v>
      </c>
      <c r="E3264" s="1" t="s">
        <v>410</v>
      </c>
      <c r="F3264" s="1" t="s">
        <v>11888</v>
      </c>
      <c r="G3264" s="1">
        <v>695541</v>
      </c>
      <c r="H3264" s="1">
        <v>66</v>
      </c>
    </row>
    <row r="3265" spans="1:8" ht="21.75" customHeight="1">
      <c r="A3265" s="1" t="str">
        <f>"IN30189511046392"</f>
        <v>IN30189511046392</v>
      </c>
      <c r="B3265" s="1" t="s">
        <v>11889</v>
      </c>
      <c r="C3265" s="1" t="s">
        <v>11890</v>
      </c>
      <c r="D3265" s="1" t="s">
        <v>11891</v>
      </c>
      <c r="E3265" s="1" t="s">
        <v>11892</v>
      </c>
      <c r="F3265" s="1"/>
      <c r="G3265" s="1">
        <v>695541</v>
      </c>
      <c r="H3265" s="1">
        <v>135</v>
      </c>
    </row>
    <row r="3266" spans="1:8" ht="21.75" customHeight="1">
      <c r="A3266" s="1" t="str">
        <f>"IN30226912988443"</f>
        <v>IN30226912988443</v>
      </c>
      <c r="B3266" s="1" t="s">
        <v>11893</v>
      </c>
      <c r="C3266" s="1" t="s">
        <v>11894</v>
      </c>
      <c r="D3266" s="1" t="s">
        <v>11895</v>
      </c>
      <c r="E3266" s="1" t="s">
        <v>509</v>
      </c>
      <c r="F3266" s="1"/>
      <c r="G3266" s="1">
        <v>695562</v>
      </c>
      <c r="H3266" s="1">
        <v>53.25</v>
      </c>
    </row>
    <row r="3267" spans="1:8" ht="21.75" customHeight="1">
      <c r="A3267" s="1" t="str">
        <f>"IN30189510533092"</f>
        <v>IN30189510533092</v>
      </c>
      <c r="B3267" s="1" t="s">
        <v>11896</v>
      </c>
      <c r="C3267" s="1" t="s">
        <v>11897</v>
      </c>
      <c r="D3267" s="1" t="s">
        <v>11898</v>
      </c>
      <c r="E3267" s="1" t="s">
        <v>11829</v>
      </c>
      <c r="F3267" s="1"/>
      <c r="G3267" s="1">
        <v>695572</v>
      </c>
      <c r="H3267" s="1">
        <v>705</v>
      </c>
    </row>
    <row r="3268" spans="1:8" ht="21.75" customHeight="1">
      <c r="A3268" s="1" t="str">
        <f>"IN30163740265462"</f>
        <v>IN30163740265462</v>
      </c>
      <c r="B3268" s="1" t="s">
        <v>11899</v>
      </c>
      <c r="C3268" s="1" t="s">
        <v>11900</v>
      </c>
      <c r="D3268" s="1" t="s">
        <v>11901</v>
      </c>
      <c r="E3268" s="1" t="s">
        <v>11902</v>
      </c>
      <c r="F3268" s="1"/>
      <c r="G3268" s="1">
        <v>695587</v>
      </c>
      <c r="H3268" s="1">
        <v>75</v>
      </c>
    </row>
    <row r="3269" spans="1:8" ht="21.75" customHeight="1">
      <c r="A3269" s="1" t="str">
        <f>"1202980000281698"</f>
        <v>1202980000281698</v>
      </c>
      <c r="B3269" s="1" t="s">
        <v>11903</v>
      </c>
      <c r="C3269" s="1" t="s">
        <v>11904</v>
      </c>
      <c r="D3269" s="1" t="s">
        <v>11905</v>
      </c>
      <c r="E3269" s="1"/>
      <c r="F3269" s="1" t="s">
        <v>615</v>
      </c>
      <c r="G3269" s="1">
        <v>695608</v>
      </c>
      <c r="H3269" s="1">
        <v>37.5</v>
      </c>
    </row>
    <row r="3270" spans="1:8" ht="21.75" customHeight="1">
      <c r="A3270" s="1" t="str">
        <f>"1205670000291781"</f>
        <v>1205670000291781</v>
      </c>
      <c r="B3270" s="1" t="s">
        <v>11906</v>
      </c>
      <c r="C3270" s="1" t="s">
        <v>11907</v>
      </c>
      <c r="D3270" s="1" t="s">
        <v>11908</v>
      </c>
      <c r="E3270" s="1" t="s">
        <v>11909</v>
      </c>
      <c r="F3270" s="1" t="s">
        <v>615</v>
      </c>
      <c r="G3270" s="1">
        <v>695614</v>
      </c>
      <c r="H3270" s="1">
        <v>150</v>
      </c>
    </row>
    <row r="3271" spans="1:8" ht="21.75" customHeight="1">
      <c r="A3271" s="1" t="str">
        <f>"1201090012653630"</f>
        <v>1201090012653630</v>
      </c>
      <c r="B3271" s="1" t="s">
        <v>11910</v>
      </c>
      <c r="C3271" s="1" t="s">
        <v>11911</v>
      </c>
      <c r="D3271" s="1" t="s">
        <v>11912</v>
      </c>
      <c r="E3271" s="1"/>
      <c r="F3271" s="1" t="s">
        <v>5572</v>
      </c>
      <c r="G3271" s="1">
        <v>695615</v>
      </c>
      <c r="H3271" s="1">
        <v>9.75</v>
      </c>
    </row>
    <row r="3272" spans="1:8" ht="21.75" customHeight="1">
      <c r="A3272" s="1" t="str">
        <f>"1201090012691299"</f>
        <v>1201090012691299</v>
      </c>
      <c r="B3272" s="1" t="s">
        <v>11913</v>
      </c>
      <c r="C3272" s="1" t="s">
        <v>11914</v>
      </c>
      <c r="D3272" s="1" t="s">
        <v>11915</v>
      </c>
      <c r="E3272" s="1" t="s">
        <v>11916</v>
      </c>
      <c r="F3272" s="1" t="s">
        <v>615</v>
      </c>
      <c r="G3272" s="1">
        <v>695616</v>
      </c>
      <c r="H3272" s="1">
        <v>839.25</v>
      </c>
    </row>
    <row r="3273" spans="1:8" ht="21.75" customHeight="1">
      <c r="A3273" s="1" t="str">
        <f>"IN30077310263859"</f>
        <v>IN30077310263859</v>
      </c>
      <c r="B3273" s="1" t="s">
        <v>11917</v>
      </c>
      <c r="C3273" s="1" t="s">
        <v>11918</v>
      </c>
      <c r="D3273" s="1" t="s">
        <v>11919</v>
      </c>
      <c r="E3273" s="1" t="s">
        <v>8</v>
      </c>
      <c r="F3273" s="1"/>
      <c r="G3273" s="1">
        <v>700001</v>
      </c>
      <c r="H3273" s="1">
        <v>3</v>
      </c>
    </row>
    <row r="3274" spans="1:8" ht="21.75" customHeight="1">
      <c r="A3274" s="1" t="str">
        <f>"1204470005542718"</f>
        <v>1204470005542718</v>
      </c>
      <c r="B3274" s="1" t="s">
        <v>11920</v>
      </c>
      <c r="C3274" s="1" t="s">
        <v>11921</v>
      </c>
      <c r="D3274" s="1"/>
      <c r="E3274" s="1"/>
      <c r="F3274" s="1" t="s">
        <v>8</v>
      </c>
      <c r="G3274" s="1">
        <v>700006</v>
      </c>
      <c r="H3274" s="1">
        <v>375</v>
      </c>
    </row>
    <row r="3275" spans="1:8" ht="21.75" customHeight="1">
      <c r="A3275" s="1" t="str">
        <f>"IN30177412131113"</f>
        <v>IN30177412131113</v>
      </c>
      <c r="B3275" s="1" t="s">
        <v>11922</v>
      </c>
      <c r="C3275" s="1" t="s">
        <v>11923</v>
      </c>
      <c r="D3275" s="1" t="s">
        <v>11924</v>
      </c>
      <c r="E3275" s="1" t="s">
        <v>8</v>
      </c>
      <c r="F3275" s="1"/>
      <c r="G3275" s="1">
        <v>700007</v>
      </c>
      <c r="H3275" s="1">
        <v>75</v>
      </c>
    </row>
    <row r="3276" spans="1:8" ht="21.75" customHeight="1">
      <c r="A3276" s="1" t="str">
        <f>"1203450000201690"</f>
        <v>1203450000201690</v>
      </c>
      <c r="B3276" s="1" t="s">
        <v>11925</v>
      </c>
      <c r="C3276" s="1" t="s">
        <v>11926</v>
      </c>
      <c r="D3276" s="1" t="s">
        <v>11927</v>
      </c>
      <c r="E3276" s="1" t="s">
        <v>635</v>
      </c>
      <c r="F3276" s="1" t="s">
        <v>8</v>
      </c>
      <c r="G3276" s="1">
        <v>700007</v>
      </c>
      <c r="H3276" s="1">
        <v>75</v>
      </c>
    </row>
    <row r="3277" spans="1:8" ht="21.75" customHeight="1">
      <c r="A3277" s="1" t="str">
        <f>"IN30051317201673"</f>
        <v>IN30051317201673</v>
      </c>
      <c r="B3277" s="1" t="s">
        <v>11928</v>
      </c>
      <c r="C3277" s="1" t="s">
        <v>11929</v>
      </c>
      <c r="D3277" s="1"/>
      <c r="E3277" s="1" t="s">
        <v>5610</v>
      </c>
      <c r="F3277" s="1"/>
      <c r="G3277" s="1">
        <v>700008</v>
      </c>
      <c r="H3277" s="1">
        <v>2.25</v>
      </c>
    </row>
    <row r="3278" spans="1:8" ht="21.75" customHeight="1">
      <c r="A3278" s="1" t="str">
        <f>"IN30226913063382"</f>
        <v>IN30226913063382</v>
      </c>
      <c r="B3278" s="1" t="s">
        <v>11930</v>
      </c>
      <c r="C3278" s="1" t="s">
        <v>11931</v>
      </c>
      <c r="D3278" s="1" t="s">
        <v>8</v>
      </c>
      <c r="E3278" s="1" t="s">
        <v>11932</v>
      </c>
      <c r="F3278" s="1"/>
      <c r="G3278" s="1">
        <v>700010</v>
      </c>
      <c r="H3278" s="1">
        <v>149.25</v>
      </c>
    </row>
    <row r="3279" spans="1:8" ht="21.75" customHeight="1">
      <c r="A3279" s="1" t="str">
        <f>"1201060002098094"</f>
        <v>1201060002098094</v>
      </c>
      <c r="B3279" s="1" t="s">
        <v>11933</v>
      </c>
      <c r="C3279" s="1" t="s">
        <v>11934</v>
      </c>
      <c r="D3279" s="1" t="s">
        <v>437</v>
      </c>
      <c r="E3279" s="1" t="s">
        <v>11935</v>
      </c>
      <c r="F3279" s="1" t="s">
        <v>8</v>
      </c>
      <c r="G3279" s="1">
        <v>700013</v>
      </c>
      <c r="H3279" s="1">
        <v>52.5</v>
      </c>
    </row>
    <row r="3280" spans="1:8" ht="21.75" customHeight="1">
      <c r="A3280" s="1" t="str">
        <f>"IN30223610822916"</f>
        <v>IN30223610822916</v>
      </c>
      <c r="B3280" s="1" t="s">
        <v>11936</v>
      </c>
      <c r="C3280" s="1" t="s">
        <v>11937</v>
      </c>
      <c r="D3280" s="1" t="s">
        <v>11938</v>
      </c>
      <c r="E3280" s="1" t="s">
        <v>11939</v>
      </c>
      <c r="F3280" s="1"/>
      <c r="G3280" s="1">
        <v>700014</v>
      </c>
      <c r="H3280" s="1">
        <v>360</v>
      </c>
    </row>
    <row r="3281" spans="1:8" ht="21.75" customHeight="1">
      <c r="A3281" s="1" t="str">
        <f>"IN30393010017719"</f>
        <v>IN30393010017719</v>
      </c>
      <c r="B3281" s="1" t="s">
        <v>11940</v>
      </c>
      <c r="C3281" s="1" t="s">
        <v>11941</v>
      </c>
      <c r="D3281" s="1"/>
      <c r="E3281" s="1" t="s">
        <v>8</v>
      </c>
      <c r="F3281" s="1"/>
      <c r="G3281" s="1">
        <v>700023</v>
      </c>
      <c r="H3281" s="1">
        <v>14.25</v>
      </c>
    </row>
    <row r="3282" spans="1:8" ht="21.75" customHeight="1">
      <c r="A3282" s="1" t="str">
        <f>"IN30154914914768"</f>
        <v>IN30154914914768</v>
      </c>
      <c r="B3282" s="1" t="s">
        <v>11942</v>
      </c>
      <c r="C3282" s="1" t="s">
        <v>11943</v>
      </c>
      <c r="D3282" s="1" t="s">
        <v>11944</v>
      </c>
      <c r="E3282" s="1" t="s">
        <v>11</v>
      </c>
      <c r="F3282" s="1"/>
      <c r="G3282" s="1">
        <v>700024</v>
      </c>
      <c r="H3282" s="1">
        <v>3.75</v>
      </c>
    </row>
    <row r="3283" spans="1:8" ht="21.75" customHeight="1">
      <c r="A3283" s="1" t="str">
        <f>"1208870018906198"</f>
        <v>1208870018906198</v>
      </c>
      <c r="B3283" s="1" t="s">
        <v>11945</v>
      </c>
      <c r="C3283" s="1" t="s">
        <v>11946</v>
      </c>
      <c r="D3283" s="1" t="s">
        <v>410</v>
      </c>
      <c r="E3283" s="1" t="s">
        <v>410</v>
      </c>
      <c r="F3283" s="1" t="s">
        <v>8</v>
      </c>
      <c r="G3283" s="1">
        <v>700038</v>
      </c>
      <c r="H3283" s="1">
        <v>15</v>
      </c>
    </row>
    <row r="3284" spans="1:8" ht="21.75" customHeight="1">
      <c r="A3284" s="1" t="str">
        <f>"1203450000667167"</f>
        <v>1203450000667167</v>
      </c>
      <c r="B3284" s="1" t="s">
        <v>11947</v>
      </c>
      <c r="C3284" s="1" t="s">
        <v>11948</v>
      </c>
      <c r="D3284" s="1" t="s">
        <v>8</v>
      </c>
      <c r="E3284" s="1"/>
      <c r="F3284" s="1" t="s">
        <v>8</v>
      </c>
      <c r="G3284" s="1">
        <v>700040</v>
      </c>
      <c r="H3284" s="1">
        <v>10.5</v>
      </c>
    </row>
    <row r="3285" spans="1:8" ht="21.75" customHeight="1">
      <c r="A3285" s="1" t="str">
        <f>"IN30249610018774"</f>
        <v>IN30249610018774</v>
      </c>
      <c r="B3285" s="1" t="s">
        <v>11949</v>
      </c>
      <c r="C3285" s="1" t="s">
        <v>11950</v>
      </c>
      <c r="D3285" s="1" t="s">
        <v>11951</v>
      </c>
      <c r="E3285" s="1" t="s">
        <v>11952</v>
      </c>
      <c r="F3285" s="1"/>
      <c r="G3285" s="1">
        <v>700055</v>
      </c>
      <c r="H3285" s="1">
        <v>75</v>
      </c>
    </row>
    <row r="3286" spans="1:8" ht="21.75" customHeight="1">
      <c r="A3286" s="1" t="str">
        <f>"IN30223611144460"</f>
        <v>IN30223611144460</v>
      </c>
      <c r="B3286" s="1" t="s">
        <v>11953</v>
      </c>
      <c r="C3286" s="1" t="s">
        <v>11954</v>
      </c>
      <c r="D3286" s="1" t="s">
        <v>11955</v>
      </c>
      <c r="E3286" s="1" t="s">
        <v>8</v>
      </c>
      <c r="F3286" s="1"/>
      <c r="G3286" s="1">
        <v>700082</v>
      </c>
      <c r="H3286" s="1">
        <v>75</v>
      </c>
    </row>
    <row r="3287" spans="1:8" ht="21.75" customHeight="1">
      <c r="A3287" s="1" t="str">
        <f>"1203450000111104"</f>
        <v>1203450000111104</v>
      </c>
      <c r="B3287" s="1" t="s">
        <v>11956</v>
      </c>
      <c r="C3287" s="1" t="s">
        <v>11957</v>
      </c>
      <c r="D3287" s="1" t="s">
        <v>11958</v>
      </c>
      <c r="E3287" s="1" t="s">
        <v>11959</v>
      </c>
      <c r="F3287" s="1" t="s">
        <v>8</v>
      </c>
      <c r="G3287" s="1">
        <v>700137</v>
      </c>
      <c r="H3287" s="1">
        <v>7.5</v>
      </c>
    </row>
    <row r="3288" spans="1:8" ht="21.75" customHeight="1">
      <c r="A3288" s="1" t="str">
        <f>"1202420000196117"</f>
        <v>1202420000196117</v>
      </c>
      <c r="B3288" s="1" t="s">
        <v>11960</v>
      </c>
      <c r="C3288" s="1" t="s">
        <v>11961</v>
      </c>
      <c r="D3288" s="1" t="s">
        <v>11962</v>
      </c>
      <c r="E3288" s="1" t="s">
        <v>11963</v>
      </c>
      <c r="F3288" s="1" t="s">
        <v>8</v>
      </c>
      <c r="G3288" s="1">
        <v>700152</v>
      </c>
      <c r="H3288" s="1">
        <v>6</v>
      </c>
    </row>
    <row r="3289" spans="1:8" ht="21.75" customHeight="1">
      <c r="A3289" s="1" t="str">
        <f>"IN30045014264834"</f>
        <v>IN30045014264834</v>
      </c>
      <c r="B3289" s="1" t="s">
        <v>11964</v>
      </c>
      <c r="C3289" s="1" t="s">
        <v>11965</v>
      </c>
      <c r="D3289" s="1" t="s">
        <v>11966</v>
      </c>
      <c r="E3289" s="1" t="s">
        <v>11967</v>
      </c>
      <c r="F3289" s="1"/>
      <c r="G3289" s="1">
        <v>711101</v>
      </c>
      <c r="H3289" s="1">
        <v>75</v>
      </c>
    </row>
    <row r="3290" spans="1:8" ht="21.75" customHeight="1">
      <c r="A3290" s="1" t="str">
        <f>"1204470004935700"</f>
        <v>1204470004935700</v>
      </c>
      <c r="B3290" s="1" t="s">
        <v>11968</v>
      </c>
      <c r="C3290" s="1" t="s">
        <v>11969</v>
      </c>
      <c r="D3290" s="1" t="s">
        <v>11970</v>
      </c>
      <c r="E3290" s="1" t="s">
        <v>11971</v>
      </c>
      <c r="F3290" s="1" t="s">
        <v>1075</v>
      </c>
      <c r="G3290" s="1">
        <v>711107</v>
      </c>
      <c r="H3290" s="1">
        <v>18.75</v>
      </c>
    </row>
    <row r="3291" spans="1:8" ht="21.75" customHeight="1">
      <c r="A3291" s="1" t="str">
        <f>"1204470002461290"</f>
        <v>1204470002461290</v>
      </c>
      <c r="B3291" s="1" t="s">
        <v>11972</v>
      </c>
      <c r="C3291" s="1">
        <v>13</v>
      </c>
      <c r="D3291" s="1" t="s">
        <v>11973</v>
      </c>
      <c r="E3291" s="1" t="s">
        <v>11974</v>
      </c>
      <c r="F3291" s="1" t="s">
        <v>1075</v>
      </c>
      <c r="G3291" s="1">
        <v>711202</v>
      </c>
      <c r="H3291" s="1">
        <v>16.5</v>
      </c>
    </row>
    <row r="3292" spans="1:8" ht="21.75" customHeight="1">
      <c r="A3292" s="1" t="str">
        <f>"1204470000971486"</f>
        <v>1204470000971486</v>
      </c>
      <c r="B3292" s="1" t="s">
        <v>11975</v>
      </c>
      <c r="C3292" s="1">
        <v>13</v>
      </c>
      <c r="D3292" s="1" t="s">
        <v>11976</v>
      </c>
      <c r="E3292" s="1" t="s">
        <v>11977</v>
      </c>
      <c r="F3292" s="1" t="s">
        <v>1075</v>
      </c>
      <c r="G3292" s="1">
        <v>711202</v>
      </c>
      <c r="H3292" s="1">
        <v>114.75</v>
      </c>
    </row>
    <row r="3293" spans="1:8" ht="21.75" customHeight="1">
      <c r="A3293" s="1" t="str">
        <f>"IN30039416527097"</f>
        <v>IN30039416527097</v>
      </c>
      <c r="B3293" s="1" t="s">
        <v>11978</v>
      </c>
      <c r="C3293" s="1" t="s">
        <v>11979</v>
      </c>
      <c r="D3293" s="1" t="s">
        <v>11980</v>
      </c>
      <c r="E3293" s="1" t="s">
        <v>11981</v>
      </c>
      <c r="F3293" s="1"/>
      <c r="G3293" s="1">
        <v>712123</v>
      </c>
      <c r="H3293" s="1">
        <v>7.5</v>
      </c>
    </row>
    <row r="3294" spans="1:8" ht="21.75" customHeight="1">
      <c r="A3294" s="1" t="str">
        <f>"1201090002121698"</f>
        <v>1201090002121698</v>
      </c>
      <c r="B3294" s="1" t="s">
        <v>11982</v>
      </c>
      <c r="C3294" s="1" t="s">
        <v>11983</v>
      </c>
      <c r="D3294" s="1" t="s">
        <v>11984</v>
      </c>
      <c r="E3294" s="1" t="s">
        <v>11985</v>
      </c>
      <c r="F3294" s="1" t="s">
        <v>11986</v>
      </c>
      <c r="G3294" s="1">
        <v>712248</v>
      </c>
      <c r="H3294" s="1">
        <v>2.25</v>
      </c>
    </row>
    <row r="3295" spans="1:8" ht="21.75" customHeight="1">
      <c r="A3295" s="1" t="str">
        <f>"1201910300099165"</f>
        <v>1201910300099165</v>
      </c>
      <c r="B3295" s="1" t="s">
        <v>11987</v>
      </c>
      <c r="C3295" s="1" t="s">
        <v>11988</v>
      </c>
      <c r="D3295" s="1" t="s">
        <v>11989</v>
      </c>
      <c r="E3295" s="1" t="s">
        <v>11990</v>
      </c>
      <c r="F3295" s="1" t="s">
        <v>5721</v>
      </c>
      <c r="G3295" s="1">
        <v>712601</v>
      </c>
      <c r="H3295" s="1">
        <v>75.75</v>
      </c>
    </row>
    <row r="3296" spans="1:8" ht="21.75" customHeight="1">
      <c r="A3296" s="1" t="str">
        <f>"IN30226911565267"</f>
        <v>IN30226911565267</v>
      </c>
      <c r="B3296" s="1" t="s">
        <v>11991</v>
      </c>
      <c r="C3296" s="1" t="s">
        <v>11992</v>
      </c>
      <c r="D3296" s="1"/>
      <c r="E3296" s="1" t="s">
        <v>651</v>
      </c>
      <c r="F3296" s="1"/>
      <c r="G3296" s="1">
        <v>713101</v>
      </c>
      <c r="H3296" s="1">
        <v>0.75</v>
      </c>
    </row>
    <row r="3297" spans="1:8" ht="21.75" customHeight="1">
      <c r="A3297" s="1" t="str">
        <f>"1201910300664251"</f>
        <v>1201910300664251</v>
      </c>
      <c r="B3297" s="1" t="s">
        <v>11993</v>
      </c>
      <c r="C3297" s="1" t="s">
        <v>11994</v>
      </c>
      <c r="D3297" s="1" t="s">
        <v>11995</v>
      </c>
      <c r="E3297" s="1"/>
      <c r="F3297" s="1" t="s">
        <v>5678</v>
      </c>
      <c r="G3297" s="1">
        <v>713103</v>
      </c>
      <c r="H3297" s="1">
        <v>133.5</v>
      </c>
    </row>
    <row r="3298" spans="1:8" ht="21.75" customHeight="1">
      <c r="A3298" s="1" t="str">
        <f>"IN30039411799208"</f>
        <v>IN30039411799208</v>
      </c>
      <c r="B3298" s="1" t="s">
        <v>11996</v>
      </c>
      <c r="C3298" s="1" t="s">
        <v>11997</v>
      </c>
      <c r="D3298" s="1" t="s">
        <v>11998</v>
      </c>
      <c r="E3298" s="1" t="s">
        <v>11999</v>
      </c>
      <c r="F3298" s="1"/>
      <c r="G3298" s="1">
        <v>713212</v>
      </c>
      <c r="H3298" s="1">
        <v>0.75</v>
      </c>
    </row>
    <row r="3299" spans="1:8" ht="21.75" customHeight="1">
      <c r="A3299" s="1" t="str">
        <f>"1204470006860668"</f>
        <v>1204470006860668</v>
      </c>
      <c r="B3299" s="1" t="s">
        <v>12001</v>
      </c>
      <c r="C3299" s="1" t="s">
        <v>12002</v>
      </c>
      <c r="D3299" s="1" t="s">
        <v>12003</v>
      </c>
      <c r="E3299" s="1" t="s">
        <v>12004</v>
      </c>
      <c r="F3299" s="1" t="s">
        <v>12000</v>
      </c>
      <c r="G3299" s="1">
        <v>713303</v>
      </c>
      <c r="H3299" s="1">
        <v>22.5</v>
      </c>
    </row>
    <row r="3300" spans="1:8" ht="21.75" customHeight="1">
      <c r="A3300" s="1" t="str">
        <f>"1204720011340376"</f>
        <v>1204720011340376</v>
      </c>
      <c r="B3300" s="1" t="s">
        <v>12005</v>
      </c>
      <c r="C3300" s="1" t="s">
        <v>12006</v>
      </c>
      <c r="D3300" s="1" t="s">
        <v>12007</v>
      </c>
      <c r="E3300" s="1" t="s">
        <v>12008</v>
      </c>
      <c r="F3300" s="1" t="s">
        <v>12000</v>
      </c>
      <c r="G3300" s="1">
        <v>713304</v>
      </c>
      <c r="H3300" s="1">
        <v>225</v>
      </c>
    </row>
    <row r="3301" spans="1:8" ht="21.75" customHeight="1">
      <c r="A3301" s="1" t="str">
        <f>"1203840000255938"</f>
        <v>1203840000255938</v>
      </c>
      <c r="B3301" s="1" t="s">
        <v>12009</v>
      </c>
      <c r="C3301" s="1" t="s">
        <v>12010</v>
      </c>
      <c r="D3301" s="1" t="s">
        <v>12011</v>
      </c>
      <c r="E3301" s="1" t="s">
        <v>5775</v>
      </c>
      <c r="F3301" s="1" t="s">
        <v>12000</v>
      </c>
      <c r="G3301" s="1">
        <v>713325</v>
      </c>
      <c r="H3301" s="1">
        <v>37.5</v>
      </c>
    </row>
    <row r="3302" spans="1:8" ht="21.75" customHeight="1">
      <c r="A3302" s="1" t="str">
        <f>"1203840000129843"</f>
        <v>1203840000129843</v>
      </c>
      <c r="B3302" s="1" t="s">
        <v>12012</v>
      </c>
      <c r="C3302" s="1" t="s">
        <v>12013</v>
      </c>
      <c r="D3302" s="1" t="s">
        <v>1392</v>
      </c>
      <c r="E3302" s="1" t="s">
        <v>12014</v>
      </c>
      <c r="F3302" s="1" t="s">
        <v>12015</v>
      </c>
      <c r="G3302" s="1">
        <v>713363</v>
      </c>
      <c r="H3302" s="1">
        <v>75</v>
      </c>
    </row>
    <row r="3303" spans="1:8" ht="21.75" customHeight="1">
      <c r="A3303" s="1" t="str">
        <f>"1203330000399943"</f>
        <v>1203330000399943</v>
      </c>
      <c r="B3303" s="1" t="s">
        <v>12016</v>
      </c>
      <c r="C3303" s="1" t="s">
        <v>12017</v>
      </c>
      <c r="D3303" s="1" t="s">
        <v>12018</v>
      </c>
      <c r="E3303" s="1" t="s">
        <v>12019</v>
      </c>
      <c r="F3303" s="1" t="s">
        <v>12020</v>
      </c>
      <c r="G3303" s="1">
        <v>721101</v>
      </c>
      <c r="H3303" s="1">
        <v>300</v>
      </c>
    </row>
    <row r="3304" spans="1:8" ht="21.75" customHeight="1">
      <c r="A3304" s="1" t="str">
        <f>"1202420000440811"</f>
        <v>1202420000440811</v>
      </c>
      <c r="B3304" s="1" t="s">
        <v>12021</v>
      </c>
      <c r="C3304" s="1" t="s">
        <v>12022</v>
      </c>
      <c r="D3304" s="1" t="s">
        <v>12023</v>
      </c>
      <c r="E3304" s="1" t="s">
        <v>12024</v>
      </c>
      <c r="F3304" s="1" t="s">
        <v>12025</v>
      </c>
      <c r="G3304" s="1">
        <v>721127</v>
      </c>
      <c r="H3304" s="1">
        <v>11.25</v>
      </c>
    </row>
    <row r="3305" spans="1:8" ht="21.75" customHeight="1">
      <c r="A3305" s="1" t="str">
        <f>"1201330001625764"</f>
        <v>1201330001625764</v>
      </c>
      <c r="B3305" s="1" t="s">
        <v>12026</v>
      </c>
      <c r="C3305" s="1" t="s">
        <v>12027</v>
      </c>
      <c r="D3305" s="1" t="s">
        <v>12028</v>
      </c>
      <c r="E3305" s="1" t="s">
        <v>5794</v>
      </c>
      <c r="F3305" s="1" t="s">
        <v>5794</v>
      </c>
      <c r="G3305" s="1">
        <v>721232</v>
      </c>
      <c r="H3305" s="1">
        <v>3</v>
      </c>
    </row>
    <row r="3306" spans="1:8" ht="21.75" customHeight="1">
      <c r="A3306" s="1" t="str">
        <f>"1205320000075310"</f>
        <v>1205320000075310</v>
      </c>
      <c r="B3306" s="1" t="s">
        <v>12029</v>
      </c>
      <c r="C3306" s="1" t="s">
        <v>12030</v>
      </c>
      <c r="D3306" s="1" t="s">
        <v>12031</v>
      </c>
      <c r="E3306" s="1" t="s">
        <v>12032</v>
      </c>
      <c r="F3306" s="1" t="s">
        <v>12033</v>
      </c>
      <c r="G3306" s="1">
        <v>721659</v>
      </c>
      <c r="H3306" s="1">
        <v>45</v>
      </c>
    </row>
    <row r="3307" spans="1:8" ht="21.75" customHeight="1">
      <c r="A3307" s="1" t="str">
        <f>"IN30226911085759"</f>
        <v>IN30226911085759</v>
      </c>
      <c r="B3307" s="1" t="s">
        <v>12035</v>
      </c>
      <c r="C3307" s="1" t="s">
        <v>12036</v>
      </c>
      <c r="D3307" s="1" t="s">
        <v>12037</v>
      </c>
      <c r="E3307" s="1" t="s">
        <v>5844</v>
      </c>
      <c r="F3307" s="1"/>
      <c r="G3307" s="1">
        <v>723101</v>
      </c>
      <c r="H3307" s="1">
        <v>6</v>
      </c>
    </row>
    <row r="3308" spans="1:8" ht="21.75" customHeight="1">
      <c r="A3308" s="1" t="str">
        <f>"1203600001599529"</f>
        <v>1203600001599529</v>
      </c>
      <c r="B3308" s="1" t="s">
        <v>12038</v>
      </c>
      <c r="C3308" s="1" t="s">
        <v>12039</v>
      </c>
      <c r="D3308" s="1" t="s">
        <v>12040</v>
      </c>
      <c r="E3308" s="1" t="s">
        <v>12041</v>
      </c>
      <c r="F3308" s="1" t="s">
        <v>12042</v>
      </c>
      <c r="G3308" s="1">
        <v>723101</v>
      </c>
      <c r="H3308" s="1">
        <v>5.25</v>
      </c>
    </row>
    <row r="3309" spans="1:8" ht="21.75" customHeight="1">
      <c r="A3309" s="1" t="str">
        <f>"1203600001298309"</f>
        <v>1203600001298309</v>
      </c>
      <c r="B3309" s="1" t="s">
        <v>12043</v>
      </c>
      <c r="C3309" s="1" t="s">
        <v>12044</v>
      </c>
      <c r="D3309" s="1" t="s">
        <v>12045</v>
      </c>
      <c r="E3309" s="1" t="s">
        <v>12034</v>
      </c>
      <c r="F3309" s="1" t="s">
        <v>12042</v>
      </c>
      <c r="G3309" s="1">
        <v>723101</v>
      </c>
      <c r="H3309" s="1">
        <v>375</v>
      </c>
    </row>
    <row r="3310" spans="1:8" ht="21.75" customHeight="1">
      <c r="A3310" s="1" t="str">
        <f>"1208870024214995"</f>
        <v>1208870024214995</v>
      </c>
      <c r="B3310" s="1" t="s">
        <v>12046</v>
      </c>
      <c r="C3310" s="1" t="s">
        <v>12047</v>
      </c>
      <c r="D3310" s="1" t="s">
        <v>12048</v>
      </c>
      <c r="E3310" s="1" t="s">
        <v>12049</v>
      </c>
      <c r="F3310" s="1" t="s">
        <v>12042</v>
      </c>
      <c r="G3310" s="1">
        <v>723155</v>
      </c>
      <c r="H3310" s="1">
        <v>8.25</v>
      </c>
    </row>
    <row r="3311" spans="1:8" ht="21.75" customHeight="1">
      <c r="A3311" s="1" t="str">
        <f>"1202420000098166"</f>
        <v>1202420000098166</v>
      </c>
      <c r="B3311" s="1" t="s">
        <v>12051</v>
      </c>
      <c r="C3311" s="1" t="s">
        <v>12052</v>
      </c>
      <c r="D3311" s="1" t="s">
        <v>12053</v>
      </c>
      <c r="E3311" s="1" t="s">
        <v>12050</v>
      </c>
      <c r="F3311" s="1" t="s">
        <v>12050</v>
      </c>
      <c r="G3311" s="1">
        <v>731235</v>
      </c>
      <c r="H3311" s="1">
        <v>7.5</v>
      </c>
    </row>
    <row r="3312" spans="1:8" ht="21.75" customHeight="1">
      <c r="A3312" s="1" t="str">
        <f>"1201910301025602"</f>
        <v>1201910301025602</v>
      </c>
      <c r="B3312" s="1" t="s">
        <v>12055</v>
      </c>
      <c r="C3312" s="1" t="s">
        <v>12056</v>
      </c>
      <c r="D3312" s="1" t="s">
        <v>12057</v>
      </c>
      <c r="E3312" s="1"/>
      <c r="F3312" s="1" t="s">
        <v>12054</v>
      </c>
      <c r="G3312" s="1">
        <v>733134</v>
      </c>
      <c r="H3312" s="1">
        <v>750</v>
      </c>
    </row>
    <row r="3313" spans="1:8" ht="21.75" customHeight="1">
      <c r="A3313" s="1" t="str">
        <f>"1201910300654530"</f>
        <v>1201910300654530</v>
      </c>
      <c r="B3313" s="1" t="s">
        <v>12058</v>
      </c>
      <c r="C3313" s="1" t="s">
        <v>12059</v>
      </c>
      <c r="D3313" s="1" t="s">
        <v>12060</v>
      </c>
      <c r="E3313" s="1" t="s">
        <v>12061</v>
      </c>
      <c r="F3313" s="1" t="s">
        <v>12054</v>
      </c>
      <c r="G3313" s="1">
        <v>733134</v>
      </c>
      <c r="H3313" s="1">
        <v>30</v>
      </c>
    </row>
    <row r="3314" spans="1:8" ht="21.75" customHeight="1">
      <c r="A3314" s="1" t="str">
        <f>"1204470003912753"</f>
        <v>1204470003912753</v>
      </c>
      <c r="B3314" s="1" t="s">
        <v>12062</v>
      </c>
      <c r="C3314" s="1" t="s">
        <v>12063</v>
      </c>
      <c r="D3314" s="1" t="s">
        <v>12064</v>
      </c>
      <c r="E3314" s="1" t="s">
        <v>12065</v>
      </c>
      <c r="F3314" s="1" t="s">
        <v>5820</v>
      </c>
      <c r="G3314" s="1">
        <v>734001</v>
      </c>
      <c r="H3314" s="1">
        <v>21.75</v>
      </c>
    </row>
    <row r="3315" spans="1:8" ht="21.75" customHeight="1">
      <c r="A3315" s="1" t="str">
        <f>"IN30210510163787"</f>
        <v>IN30210510163787</v>
      </c>
      <c r="B3315" s="1" t="s">
        <v>12066</v>
      </c>
      <c r="C3315" s="1" t="s">
        <v>12067</v>
      </c>
      <c r="D3315" s="1" t="s">
        <v>12068</v>
      </c>
      <c r="E3315" s="1" t="s">
        <v>12069</v>
      </c>
      <c r="F3315" s="1"/>
      <c r="G3315" s="1">
        <v>734101</v>
      </c>
      <c r="H3315" s="1">
        <v>37.5</v>
      </c>
    </row>
    <row r="3316" spans="1:8" ht="21.75" customHeight="1">
      <c r="A3316" s="1" t="str">
        <f>"IN30220110815998"</f>
        <v>IN30220110815998</v>
      </c>
      <c r="B3316" s="1" t="s">
        <v>12070</v>
      </c>
      <c r="C3316" s="1" t="s">
        <v>12071</v>
      </c>
      <c r="D3316" s="1" t="s">
        <v>12072</v>
      </c>
      <c r="E3316" s="1" t="s">
        <v>12073</v>
      </c>
      <c r="F3316" s="1"/>
      <c r="G3316" s="1">
        <v>734301</v>
      </c>
      <c r="H3316" s="1">
        <v>37.5</v>
      </c>
    </row>
    <row r="3317" spans="1:8" ht="21.75" customHeight="1">
      <c r="A3317" s="1" t="str">
        <f>"1205320000036165"</f>
        <v>1205320000036165</v>
      </c>
      <c r="B3317" s="1" t="s">
        <v>12074</v>
      </c>
      <c r="C3317" s="1" t="s">
        <v>12075</v>
      </c>
      <c r="D3317" s="1" t="s">
        <v>12076</v>
      </c>
      <c r="E3317" s="1" t="s">
        <v>5832</v>
      </c>
      <c r="F3317" s="1" t="s">
        <v>12076</v>
      </c>
      <c r="G3317" s="1">
        <v>736121</v>
      </c>
      <c r="H3317" s="1">
        <v>16.5</v>
      </c>
    </row>
    <row r="3318" spans="1:8" ht="21.75" customHeight="1">
      <c r="A3318" s="1" t="str">
        <f>"IN30226913762909"</f>
        <v>IN30226913762909</v>
      </c>
      <c r="B3318" s="1" t="s">
        <v>12077</v>
      </c>
      <c r="C3318" s="1" t="s">
        <v>12078</v>
      </c>
      <c r="D3318" s="1" t="s">
        <v>12079</v>
      </c>
      <c r="E3318" s="1" t="s">
        <v>12080</v>
      </c>
      <c r="F3318" s="1"/>
      <c r="G3318" s="1">
        <v>737101</v>
      </c>
      <c r="H3318" s="1">
        <v>0.75</v>
      </c>
    </row>
    <row r="3319" spans="1:8" ht="21.75" customHeight="1">
      <c r="A3319" s="1" t="str">
        <f>"1208870066092308"</f>
        <v>1208870066092308</v>
      </c>
      <c r="B3319" s="1" t="s">
        <v>12081</v>
      </c>
      <c r="C3319" s="1" t="s">
        <v>12082</v>
      </c>
      <c r="D3319" s="1" t="s">
        <v>410</v>
      </c>
      <c r="E3319" s="1" t="s">
        <v>410</v>
      </c>
      <c r="F3319" s="1" t="s">
        <v>659</v>
      </c>
      <c r="G3319" s="1">
        <v>741162</v>
      </c>
      <c r="H3319" s="1">
        <v>3.75</v>
      </c>
    </row>
    <row r="3320" spans="1:8" ht="21.75" customHeight="1">
      <c r="A3320" s="1" t="str">
        <f>"1202570000176848"</f>
        <v>1202570000176848</v>
      </c>
      <c r="B3320" s="1" t="s">
        <v>12083</v>
      </c>
      <c r="C3320" s="1" t="s">
        <v>12084</v>
      </c>
      <c r="D3320" s="1" t="s">
        <v>12085</v>
      </c>
      <c r="E3320" s="1" t="s">
        <v>12086</v>
      </c>
      <c r="F3320" s="1" t="s">
        <v>659</v>
      </c>
      <c r="G3320" s="1">
        <v>741248</v>
      </c>
      <c r="H3320" s="1">
        <v>1.5</v>
      </c>
    </row>
    <row r="3321" spans="1:8" ht="21.75" customHeight="1">
      <c r="A3321" s="1" t="str">
        <f>"1205320000024833"</f>
        <v>1205320000024833</v>
      </c>
      <c r="B3321" s="1" t="s">
        <v>12087</v>
      </c>
      <c r="C3321" s="1" t="s">
        <v>12088</v>
      </c>
      <c r="D3321" s="1" t="s">
        <v>12089</v>
      </c>
      <c r="E3321" s="1"/>
      <c r="F3321" s="1" t="s">
        <v>12090</v>
      </c>
      <c r="G3321" s="1">
        <v>742137</v>
      </c>
      <c r="H3321" s="1">
        <v>73.5</v>
      </c>
    </row>
    <row r="3322" spans="1:8" ht="21.75" customHeight="1">
      <c r="A3322" s="1" t="str">
        <f>"IN30114310917602"</f>
        <v>IN30114310917602</v>
      </c>
      <c r="B3322" s="1" t="s">
        <v>12091</v>
      </c>
      <c r="C3322" s="1" t="s">
        <v>12092</v>
      </c>
      <c r="D3322" s="1" t="s">
        <v>12093</v>
      </c>
      <c r="E3322" s="1" t="s">
        <v>12094</v>
      </c>
      <c r="F3322" s="1"/>
      <c r="G3322" s="1">
        <v>742148</v>
      </c>
      <c r="H3322" s="1">
        <v>70.5</v>
      </c>
    </row>
    <row r="3323" spans="1:8" ht="21.75" customHeight="1">
      <c r="A3323" s="1" t="str">
        <f>"IN30051317222530"</f>
        <v>IN30051317222530</v>
      </c>
      <c r="B3323" s="1" t="s">
        <v>12095</v>
      </c>
      <c r="C3323" s="1" t="s">
        <v>12096</v>
      </c>
      <c r="D3323" s="1" t="s">
        <v>12097</v>
      </c>
      <c r="E3323" s="1" t="s">
        <v>12098</v>
      </c>
      <c r="F3323" s="1"/>
      <c r="G3323" s="1">
        <v>742165</v>
      </c>
      <c r="H3323" s="1">
        <v>7.5</v>
      </c>
    </row>
    <row r="3324" spans="1:8" ht="21.75" customHeight="1">
      <c r="A3324" s="1" t="str">
        <f>"1208870020740659"</f>
        <v>1208870020740659</v>
      </c>
      <c r="B3324" s="1" t="s">
        <v>12099</v>
      </c>
      <c r="C3324" s="1" t="s">
        <v>12100</v>
      </c>
      <c r="D3324" s="1" t="s">
        <v>12101</v>
      </c>
      <c r="E3324" s="1" t="s">
        <v>410</v>
      </c>
      <c r="F3324" s="1" t="s">
        <v>5671</v>
      </c>
      <c r="G3324" s="1">
        <v>743235</v>
      </c>
      <c r="H3324" s="1">
        <v>3.75</v>
      </c>
    </row>
    <row r="3325" spans="1:8" ht="21.75" customHeight="1">
      <c r="A3325" s="1" t="str">
        <f>"1203450000062047"</f>
        <v>1203450000062047</v>
      </c>
      <c r="B3325" s="1" t="s">
        <v>12102</v>
      </c>
      <c r="C3325" s="1" t="s">
        <v>12103</v>
      </c>
      <c r="D3325" s="1" t="s">
        <v>12104</v>
      </c>
      <c r="E3325" s="1" t="s">
        <v>12105</v>
      </c>
      <c r="F3325" s="1" t="s">
        <v>8</v>
      </c>
      <c r="G3325" s="1">
        <v>743331</v>
      </c>
      <c r="H3325" s="1">
        <v>7.5</v>
      </c>
    </row>
    <row r="3326" spans="1:8" ht="21.75" customHeight="1">
      <c r="A3326" s="1" t="str">
        <f>"IN30026310166636"</f>
        <v>IN30026310166636</v>
      </c>
      <c r="B3326" s="1" t="s">
        <v>12106</v>
      </c>
      <c r="C3326" s="1" t="s">
        <v>12107</v>
      </c>
      <c r="D3326" s="1" t="s">
        <v>12108</v>
      </c>
      <c r="E3326" s="1" t="s">
        <v>12109</v>
      </c>
      <c r="F3326" s="1"/>
      <c r="G3326" s="1">
        <v>743347</v>
      </c>
      <c r="H3326" s="1">
        <v>41.25</v>
      </c>
    </row>
    <row r="3327" spans="1:8" ht="21.75" customHeight="1">
      <c r="A3327" s="1" t="str">
        <f>"IN30108022665944"</f>
        <v>IN30108022665944</v>
      </c>
      <c r="B3327" s="1" t="s">
        <v>12110</v>
      </c>
      <c r="C3327" s="1" t="s">
        <v>12111</v>
      </c>
      <c r="D3327" s="1" t="s">
        <v>12112</v>
      </c>
      <c r="E3327" s="1" t="s">
        <v>12113</v>
      </c>
      <c r="F3327" s="1"/>
      <c r="G3327" s="1">
        <v>744101</v>
      </c>
      <c r="H3327" s="1">
        <v>187.5</v>
      </c>
    </row>
    <row r="3328" spans="1:8" ht="21.75" customHeight="1">
      <c r="A3328" s="1" t="str">
        <f>"IN30125028713926"</f>
        <v>IN30125028713926</v>
      </c>
      <c r="B3328" s="1" t="s">
        <v>12114</v>
      </c>
      <c r="C3328" s="1" t="s">
        <v>12115</v>
      </c>
      <c r="D3328" s="1" t="s">
        <v>12116</v>
      </c>
      <c r="E3328" s="1" t="s">
        <v>12117</v>
      </c>
      <c r="F3328" s="1"/>
      <c r="G3328" s="1">
        <v>751002</v>
      </c>
      <c r="H3328" s="1">
        <v>12</v>
      </c>
    </row>
    <row r="3329" spans="1:8" ht="21.75" customHeight="1">
      <c r="A3329" s="1" t="str">
        <f>"IN30125028870790"</f>
        <v>IN30125028870790</v>
      </c>
      <c r="B3329" s="1" t="s">
        <v>12118</v>
      </c>
      <c r="C3329" s="1" t="s">
        <v>12119</v>
      </c>
      <c r="D3329" s="1" t="s">
        <v>12120</v>
      </c>
      <c r="E3329" s="1" t="s">
        <v>12121</v>
      </c>
      <c r="F3329" s="1"/>
      <c r="G3329" s="1">
        <v>751002</v>
      </c>
      <c r="H3329" s="1">
        <v>198.75</v>
      </c>
    </row>
    <row r="3330" spans="1:8" ht="21.75" customHeight="1">
      <c r="A3330" s="1" t="str">
        <f>"IN30021414038206"</f>
        <v>IN30021414038206</v>
      </c>
      <c r="B3330" s="1" t="s">
        <v>12122</v>
      </c>
      <c r="C3330" s="1" t="s">
        <v>12123</v>
      </c>
      <c r="D3330" s="1" t="s">
        <v>12124</v>
      </c>
      <c r="E3330" s="1" t="s">
        <v>12125</v>
      </c>
      <c r="F3330" s="1"/>
      <c r="G3330" s="1">
        <v>751010</v>
      </c>
      <c r="H3330" s="1">
        <v>187.5</v>
      </c>
    </row>
    <row r="3331" spans="1:8" ht="21.75" customHeight="1">
      <c r="A3331" s="1" t="str">
        <f>"1204720010129711"</f>
        <v>1204720010129711</v>
      </c>
      <c r="B3331" s="1" t="s">
        <v>12128</v>
      </c>
      <c r="C3331" s="1" t="s">
        <v>12129</v>
      </c>
      <c r="D3331" s="1" t="s">
        <v>12130</v>
      </c>
      <c r="E3331" s="1" t="s">
        <v>12131</v>
      </c>
      <c r="F3331" s="1" t="s">
        <v>12127</v>
      </c>
      <c r="G3331" s="1">
        <v>751021</v>
      </c>
      <c r="H3331" s="1">
        <v>45</v>
      </c>
    </row>
    <row r="3332" spans="1:8" ht="21.75" customHeight="1">
      <c r="A3332" s="1" t="str">
        <f>"1208870081495408"</f>
        <v>1208870081495408</v>
      </c>
      <c r="B3332" s="1" t="s">
        <v>12133</v>
      </c>
      <c r="C3332" s="1" t="s">
        <v>12134</v>
      </c>
      <c r="D3332" s="1" t="s">
        <v>12135</v>
      </c>
      <c r="E3332" s="1" t="s">
        <v>12136</v>
      </c>
      <c r="F3332" s="1" t="s">
        <v>12127</v>
      </c>
      <c r="G3332" s="1">
        <v>752062</v>
      </c>
      <c r="H3332" s="1">
        <v>0.75</v>
      </c>
    </row>
    <row r="3333" spans="1:8" ht="21.75" customHeight="1">
      <c r="A3333" s="1" t="str">
        <f>"1208180019363119"</f>
        <v>1208180019363119</v>
      </c>
      <c r="B3333" s="1" t="s">
        <v>12137</v>
      </c>
      <c r="C3333" s="1" t="s">
        <v>12138</v>
      </c>
      <c r="D3333" s="1"/>
      <c r="E3333" s="1"/>
      <c r="F3333" s="1" t="s">
        <v>12132</v>
      </c>
      <c r="G3333" s="1">
        <v>752107</v>
      </c>
      <c r="H3333" s="1">
        <v>75</v>
      </c>
    </row>
    <row r="3334" spans="1:8" ht="21.75" customHeight="1">
      <c r="A3334" s="1" t="str">
        <f>"IN30220111269318"</f>
        <v>IN30220111269318</v>
      </c>
      <c r="B3334" s="1" t="s">
        <v>12139</v>
      </c>
      <c r="C3334" s="1" t="s">
        <v>12140</v>
      </c>
      <c r="D3334" s="1" t="s">
        <v>12141</v>
      </c>
      <c r="E3334" s="1" t="s">
        <v>12142</v>
      </c>
      <c r="F3334" s="1"/>
      <c r="G3334" s="1">
        <v>754103</v>
      </c>
      <c r="H3334" s="1">
        <v>15.75</v>
      </c>
    </row>
    <row r="3335" spans="1:8" ht="21.75" customHeight="1">
      <c r="A3335" s="1" t="str">
        <f>"IN30039417396247"</f>
        <v>IN30039417396247</v>
      </c>
      <c r="B3335" s="1" t="s">
        <v>12143</v>
      </c>
      <c r="C3335" s="1" t="s">
        <v>12144</v>
      </c>
      <c r="D3335" s="1" t="s">
        <v>12145</v>
      </c>
      <c r="E3335" s="1" t="s">
        <v>5918</v>
      </c>
      <c r="F3335" s="1"/>
      <c r="G3335" s="1">
        <v>754213</v>
      </c>
      <c r="H3335" s="1">
        <v>1.5</v>
      </c>
    </row>
    <row r="3336" spans="1:8" ht="21.75" customHeight="1">
      <c r="A3336" s="1" t="str">
        <f>"1208870021543241"</f>
        <v>1208870021543241</v>
      </c>
      <c r="B3336" s="1" t="s">
        <v>12146</v>
      </c>
      <c r="C3336" s="1" t="s">
        <v>12147</v>
      </c>
      <c r="D3336" s="1" t="s">
        <v>12148</v>
      </c>
      <c r="E3336" s="1" t="s">
        <v>12149</v>
      </c>
      <c r="F3336" s="1" t="s">
        <v>12150</v>
      </c>
      <c r="G3336" s="1">
        <v>755019</v>
      </c>
      <c r="H3336" s="1">
        <v>21.75</v>
      </c>
    </row>
    <row r="3337" spans="1:8" ht="21.75" customHeight="1">
      <c r="A3337" s="1" t="str">
        <f>"IN30135620460265"</f>
        <v>IN30135620460265</v>
      </c>
      <c r="B3337" s="1" t="s">
        <v>12151</v>
      </c>
      <c r="C3337" s="1" t="s">
        <v>12152</v>
      </c>
      <c r="D3337" s="1" t="s">
        <v>12153</v>
      </c>
      <c r="E3337" s="1" t="s">
        <v>12154</v>
      </c>
      <c r="F3337" s="1"/>
      <c r="G3337" s="1">
        <v>756001</v>
      </c>
      <c r="H3337" s="1">
        <v>75</v>
      </c>
    </row>
    <row r="3338" spans="1:8" ht="21.75" customHeight="1">
      <c r="A3338" s="1" t="str">
        <f>"1208870024222869"</f>
        <v>1208870024222869</v>
      </c>
      <c r="B3338" s="1" t="s">
        <v>12155</v>
      </c>
      <c r="C3338" s="1" t="s">
        <v>12156</v>
      </c>
      <c r="D3338" s="1" t="s">
        <v>12157</v>
      </c>
      <c r="E3338" s="1" t="s">
        <v>12158</v>
      </c>
      <c r="F3338" s="1" t="s">
        <v>12159</v>
      </c>
      <c r="G3338" s="1">
        <v>756056</v>
      </c>
      <c r="H3338" s="1">
        <v>0.75</v>
      </c>
    </row>
    <row r="3339" spans="1:8" ht="21.75" customHeight="1">
      <c r="A3339" s="1" t="str">
        <f>"1203350000736183"</f>
        <v>1203350000736183</v>
      </c>
      <c r="B3339" s="1" t="s">
        <v>12160</v>
      </c>
      <c r="C3339" s="1" t="s">
        <v>12161</v>
      </c>
      <c r="D3339" s="1" t="s">
        <v>12162</v>
      </c>
      <c r="E3339" s="1" t="s">
        <v>5934</v>
      </c>
      <c r="F3339" s="1" t="s">
        <v>5934</v>
      </c>
      <c r="G3339" s="1">
        <v>756115</v>
      </c>
      <c r="H3339" s="1">
        <v>37.5</v>
      </c>
    </row>
    <row r="3340" spans="1:8" ht="21.75" customHeight="1">
      <c r="A3340" s="1" t="str">
        <f>"IN30039418142150"</f>
        <v>IN30039418142150</v>
      </c>
      <c r="B3340" s="1" t="s">
        <v>12163</v>
      </c>
      <c r="C3340" s="1" t="s">
        <v>12164</v>
      </c>
      <c r="D3340" s="1" t="s">
        <v>12165</v>
      </c>
      <c r="E3340" s="1" t="s">
        <v>12166</v>
      </c>
      <c r="F3340" s="1"/>
      <c r="G3340" s="1">
        <v>760003</v>
      </c>
      <c r="H3340" s="1">
        <v>10.5</v>
      </c>
    </row>
    <row r="3341" spans="1:8" ht="21.75" customHeight="1">
      <c r="A3341" s="1" t="str">
        <f>"1204720009665538"</f>
        <v>1204720009665538</v>
      </c>
      <c r="B3341" s="1" t="s">
        <v>12168</v>
      </c>
      <c r="C3341" s="1" t="s">
        <v>12169</v>
      </c>
      <c r="D3341" s="1" t="s">
        <v>12170</v>
      </c>
      <c r="E3341" s="1" t="s">
        <v>12171</v>
      </c>
      <c r="F3341" s="1" t="s">
        <v>12172</v>
      </c>
      <c r="G3341" s="1">
        <v>766001</v>
      </c>
      <c r="H3341" s="1">
        <v>1207</v>
      </c>
    </row>
    <row r="3342" spans="1:8" ht="21.75" customHeight="1">
      <c r="A3342" s="1" t="str">
        <f>"IN30220111058118"</f>
        <v>IN30220111058118</v>
      </c>
      <c r="B3342" s="1" t="s">
        <v>12173</v>
      </c>
      <c r="C3342" s="1" t="s">
        <v>12174</v>
      </c>
      <c r="D3342" s="1" t="s">
        <v>12175</v>
      </c>
      <c r="E3342" s="1" t="s">
        <v>12167</v>
      </c>
      <c r="F3342" s="1"/>
      <c r="G3342" s="1">
        <v>766001</v>
      </c>
      <c r="H3342" s="1">
        <v>7.5</v>
      </c>
    </row>
    <row r="3343" spans="1:8" ht="21.75" customHeight="1">
      <c r="A3343" s="1" t="str">
        <f>"IN30198310238623"</f>
        <v>IN30198310238623</v>
      </c>
      <c r="B3343" s="1" t="s">
        <v>12176</v>
      </c>
      <c r="C3343" s="1" t="s">
        <v>12177</v>
      </c>
      <c r="D3343" s="1"/>
      <c r="E3343" s="1" t="s">
        <v>12178</v>
      </c>
      <c r="F3343" s="1"/>
      <c r="G3343" s="1">
        <v>769003</v>
      </c>
      <c r="H3343" s="1">
        <v>15</v>
      </c>
    </row>
    <row r="3344" spans="1:8" ht="21.75" customHeight="1">
      <c r="A3344" s="1" t="str">
        <f>"1208870023468661"</f>
        <v>1208870023468661</v>
      </c>
      <c r="B3344" s="1" t="s">
        <v>12179</v>
      </c>
      <c r="C3344" s="1" t="s">
        <v>1351</v>
      </c>
      <c r="D3344" s="1" t="s">
        <v>12180</v>
      </c>
      <c r="E3344" s="1" t="s">
        <v>410</v>
      </c>
      <c r="F3344" s="1" t="s">
        <v>5970</v>
      </c>
      <c r="G3344" s="1">
        <v>781001</v>
      </c>
      <c r="H3344" s="1">
        <v>11.25</v>
      </c>
    </row>
    <row r="3345" spans="1:8" ht="21.75" customHeight="1">
      <c r="A3345" s="1" t="str">
        <f>"IN30245310070658"</f>
        <v>IN30245310070658</v>
      </c>
      <c r="B3345" s="1" t="s">
        <v>12181</v>
      </c>
      <c r="C3345" s="1" t="s">
        <v>12182</v>
      </c>
      <c r="D3345" s="1" t="s">
        <v>12183</v>
      </c>
      <c r="E3345" s="1" t="s">
        <v>12184</v>
      </c>
      <c r="F3345" s="1"/>
      <c r="G3345" s="1">
        <v>781034</v>
      </c>
      <c r="H3345" s="1">
        <v>37.5</v>
      </c>
    </row>
    <row r="3346" spans="1:8" ht="21.75" customHeight="1">
      <c r="A3346" s="1" t="str">
        <f>"1201910101296422"</f>
        <v>1201910101296422</v>
      </c>
      <c r="B3346" s="1" t="s">
        <v>12185</v>
      </c>
      <c r="C3346" s="1" t="s">
        <v>12186</v>
      </c>
      <c r="D3346" s="1" t="s">
        <v>11326</v>
      </c>
      <c r="E3346" s="1" t="s">
        <v>12187</v>
      </c>
      <c r="F3346" s="1" t="s">
        <v>12188</v>
      </c>
      <c r="G3346" s="1">
        <v>784505</v>
      </c>
      <c r="H3346" s="1">
        <v>7.5</v>
      </c>
    </row>
    <row r="3347" spans="1:8" ht="21.75" customHeight="1">
      <c r="A3347" s="1" t="str">
        <f>"IN30039416704715"</f>
        <v>IN30039416704715</v>
      </c>
      <c r="B3347" s="1" t="s">
        <v>12189</v>
      </c>
      <c r="C3347" s="1" t="s">
        <v>12190</v>
      </c>
      <c r="D3347" s="1" t="s">
        <v>12191</v>
      </c>
      <c r="E3347" s="1" t="s">
        <v>5996</v>
      </c>
      <c r="F3347" s="1"/>
      <c r="G3347" s="1">
        <v>786001</v>
      </c>
      <c r="H3347" s="1">
        <v>15.75</v>
      </c>
    </row>
    <row r="3348" spans="1:8" ht="21.75" customHeight="1">
      <c r="A3348" s="1" t="str">
        <f>"1201910300426171"</f>
        <v>1201910300426171</v>
      </c>
      <c r="B3348" s="1" t="s">
        <v>12192</v>
      </c>
      <c r="C3348" s="1" t="s">
        <v>12193</v>
      </c>
      <c r="D3348" s="1" t="s">
        <v>12194</v>
      </c>
      <c r="E3348" s="1" t="s">
        <v>12195</v>
      </c>
      <c r="F3348" s="1" t="s">
        <v>12196</v>
      </c>
      <c r="G3348" s="1">
        <v>788161</v>
      </c>
      <c r="H3348" s="1">
        <v>10.5</v>
      </c>
    </row>
    <row r="3349" spans="1:8" ht="21.75" customHeight="1">
      <c r="A3349" s="1" t="str">
        <f>"IN30023912510494"</f>
        <v>IN30023912510494</v>
      </c>
      <c r="B3349" s="1" t="s">
        <v>12197</v>
      </c>
      <c r="C3349" s="1" t="s">
        <v>12198</v>
      </c>
      <c r="D3349" s="1" t="s">
        <v>6008</v>
      </c>
      <c r="E3349" s="1" t="s">
        <v>12199</v>
      </c>
      <c r="F3349" s="1"/>
      <c r="G3349" s="1">
        <v>796001</v>
      </c>
      <c r="H3349" s="1">
        <v>67.5</v>
      </c>
    </row>
    <row r="3350" spans="1:8" ht="21.75" customHeight="1">
      <c r="A3350" s="1" t="str">
        <f>"1203320005967925"</f>
        <v>1203320005967925</v>
      </c>
      <c r="B3350" s="1" t="s">
        <v>12200</v>
      </c>
      <c r="C3350" s="1" t="s">
        <v>12201</v>
      </c>
      <c r="D3350" s="1" t="s">
        <v>6016</v>
      </c>
      <c r="E3350" s="1"/>
      <c r="F3350" s="1" t="s">
        <v>6016</v>
      </c>
      <c r="G3350" s="1">
        <v>797112</v>
      </c>
      <c r="H3350" s="1">
        <v>39</v>
      </c>
    </row>
    <row r="3351" spans="1:8" ht="21.75" customHeight="1">
      <c r="A3351" s="1" t="str">
        <f>"1201330000395034"</f>
        <v>1201330000395034</v>
      </c>
      <c r="B3351" s="1" t="s">
        <v>12203</v>
      </c>
      <c r="C3351" s="1" t="s">
        <v>12204</v>
      </c>
      <c r="D3351" s="1" t="s">
        <v>12205</v>
      </c>
      <c r="E3351" s="1" t="s">
        <v>12202</v>
      </c>
      <c r="F3351" s="1" t="s">
        <v>12206</v>
      </c>
      <c r="G3351" s="1">
        <v>802158</v>
      </c>
      <c r="H3351" s="1">
        <v>12</v>
      </c>
    </row>
    <row r="3352" spans="1:8" ht="21.75" customHeight="1">
      <c r="A3352" s="1" t="str">
        <f>"IN30051317371129"</f>
        <v>IN30051317371129</v>
      </c>
      <c r="B3352" s="1" t="s">
        <v>12207</v>
      </c>
      <c r="C3352" s="1" t="s">
        <v>12208</v>
      </c>
      <c r="D3352" s="1" t="s">
        <v>12209</v>
      </c>
      <c r="E3352" s="1" t="s">
        <v>12210</v>
      </c>
      <c r="F3352" s="1"/>
      <c r="G3352" s="1">
        <v>802301</v>
      </c>
      <c r="H3352" s="1">
        <v>86.25</v>
      </c>
    </row>
    <row r="3353" spans="1:8" ht="21.75" customHeight="1">
      <c r="A3353" s="1" t="str">
        <f>"1201130000365969"</f>
        <v>1201130000365969</v>
      </c>
      <c r="B3353" s="1" t="s">
        <v>12211</v>
      </c>
      <c r="C3353" s="1" t="s">
        <v>12212</v>
      </c>
      <c r="D3353" s="1" t="s">
        <v>12213</v>
      </c>
      <c r="E3353" s="1" t="s">
        <v>12214</v>
      </c>
      <c r="F3353" s="1" t="s">
        <v>12202</v>
      </c>
      <c r="G3353" s="1">
        <v>802302</v>
      </c>
      <c r="H3353" s="1">
        <v>15</v>
      </c>
    </row>
    <row r="3354" spans="1:8" ht="21.75" customHeight="1">
      <c r="A3354" s="1" t="str">
        <f>"IN30021413793351"</f>
        <v>IN30021413793351</v>
      </c>
      <c r="B3354" s="1" t="s">
        <v>12215</v>
      </c>
      <c r="C3354" s="1" t="s">
        <v>12216</v>
      </c>
      <c r="D3354" s="1" t="s">
        <v>12217</v>
      </c>
      <c r="E3354" s="1" t="s">
        <v>12218</v>
      </c>
      <c r="F3354" s="1"/>
      <c r="G3354" s="1">
        <v>812002</v>
      </c>
      <c r="H3354" s="1">
        <v>1500</v>
      </c>
    </row>
    <row r="3355" spans="1:8" ht="21.75" customHeight="1">
      <c r="A3355" s="1" t="str">
        <f>"IN30155722016821"</f>
        <v>IN30155722016821</v>
      </c>
      <c r="B3355" s="1" t="s">
        <v>12219</v>
      </c>
      <c r="C3355" s="1" t="s">
        <v>12220</v>
      </c>
      <c r="D3355" s="1" t="s">
        <v>12221</v>
      </c>
      <c r="E3355" s="1" t="s">
        <v>1094</v>
      </c>
      <c r="F3355" s="1"/>
      <c r="G3355" s="1">
        <v>813113</v>
      </c>
      <c r="H3355" s="1">
        <v>9.75</v>
      </c>
    </row>
    <row r="3356" spans="1:8" ht="21.75" customHeight="1">
      <c r="A3356" s="1" t="str">
        <f>"1201640300038373"</f>
        <v>1201640300038373</v>
      </c>
      <c r="B3356" s="1" t="s">
        <v>12223</v>
      </c>
      <c r="C3356" s="1" t="s">
        <v>12224</v>
      </c>
      <c r="D3356" s="1" t="s">
        <v>12225</v>
      </c>
      <c r="E3356" s="1" t="s">
        <v>12226</v>
      </c>
      <c r="F3356" s="1" t="s">
        <v>12222</v>
      </c>
      <c r="G3356" s="1">
        <v>823001</v>
      </c>
      <c r="H3356" s="1">
        <v>30</v>
      </c>
    </row>
    <row r="3357" spans="1:8" ht="21.75" customHeight="1">
      <c r="A3357" s="1" t="str">
        <f>"IN30177413022584"</f>
        <v>IN30177413022584</v>
      </c>
      <c r="B3357" s="1" t="s">
        <v>1360</v>
      </c>
      <c r="C3357" s="1" t="s">
        <v>12227</v>
      </c>
      <c r="D3357" s="1" t="s">
        <v>12228</v>
      </c>
      <c r="E3357" s="1" t="s">
        <v>12229</v>
      </c>
      <c r="F3357" s="1"/>
      <c r="G3357" s="1">
        <v>823001</v>
      </c>
      <c r="H3357" s="1">
        <v>6</v>
      </c>
    </row>
    <row r="3358" spans="1:8" ht="21.75" customHeight="1">
      <c r="A3358" s="1" t="str">
        <f>"IN30177414773457"</f>
        <v>IN30177414773457</v>
      </c>
      <c r="B3358" s="1" t="s">
        <v>12230</v>
      </c>
      <c r="C3358" s="1" t="s">
        <v>12231</v>
      </c>
      <c r="D3358" s="1" t="s">
        <v>12232</v>
      </c>
      <c r="E3358" s="1" t="s">
        <v>12233</v>
      </c>
      <c r="F3358" s="1"/>
      <c r="G3358" s="1">
        <v>825301</v>
      </c>
      <c r="H3358" s="1">
        <v>15</v>
      </c>
    </row>
    <row r="3359" spans="1:8" ht="21.75" customHeight="1">
      <c r="A3359" s="1" t="str">
        <f>"IN30051315803972"</f>
        <v>IN30051315803972</v>
      </c>
      <c r="B3359" s="1" t="s">
        <v>12235</v>
      </c>
      <c r="C3359" s="1" t="s">
        <v>12236</v>
      </c>
      <c r="D3359" s="1" t="s">
        <v>12126</v>
      </c>
      <c r="E3359" s="1" t="s">
        <v>6120</v>
      </c>
      <c r="F3359" s="1"/>
      <c r="G3359" s="1">
        <v>827004</v>
      </c>
      <c r="H3359" s="1">
        <v>300</v>
      </c>
    </row>
    <row r="3360" spans="1:8" ht="21.75" customHeight="1">
      <c r="A3360" s="1" t="str">
        <f>"1203450000053773"</f>
        <v>1203450000053773</v>
      </c>
      <c r="B3360" s="1" t="s">
        <v>12237</v>
      </c>
      <c r="C3360" s="1" t="s">
        <v>12238</v>
      </c>
      <c r="D3360" s="1" t="s">
        <v>12239</v>
      </c>
      <c r="E3360" s="1"/>
      <c r="F3360" s="1" t="s">
        <v>12234</v>
      </c>
      <c r="G3360" s="1">
        <v>827006</v>
      </c>
      <c r="H3360" s="1">
        <v>112.5</v>
      </c>
    </row>
    <row r="3361" spans="1:8" ht="21.75" customHeight="1">
      <c r="A3361" s="1" t="str">
        <f>"IN30220111260468"</f>
        <v>IN30220111260468</v>
      </c>
      <c r="B3361" s="1" t="s">
        <v>12240</v>
      </c>
      <c r="C3361" s="1" t="s">
        <v>12241</v>
      </c>
      <c r="D3361" s="1" t="s">
        <v>12242</v>
      </c>
      <c r="E3361" s="1" t="s">
        <v>12243</v>
      </c>
      <c r="F3361" s="1"/>
      <c r="G3361" s="1">
        <v>828111</v>
      </c>
      <c r="H3361" s="1">
        <v>75</v>
      </c>
    </row>
    <row r="3362" spans="1:8" ht="21.75" customHeight="1">
      <c r="A3362" s="1" t="str">
        <f>"1203450000187848"</f>
        <v>1203450000187848</v>
      </c>
      <c r="B3362" s="1" t="s">
        <v>12244</v>
      </c>
      <c r="C3362" s="1" t="s">
        <v>12245</v>
      </c>
      <c r="D3362" s="1" t="s">
        <v>12246</v>
      </c>
      <c r="E3362" s="1" t="s">
        <v>12247</v>
      </c>
      <c r="F3362" s="1" t="s">
        <v>6094</v>
      </c>
      <c r="G3362" s="1">
        <v>831001</v>
      </c>
      <c r="H3362" s="1">
        <v>75</v>
      </c>
    </row>
    <row r="3363" spans="1:8" ht="21.75" customHeight="1">
      <c r="A3363" s="1" t="str">
        <f>"IN30051311877913"</f>
        <v>IN30051311877913</v>
      </c>
      <c r="B3363" s="1" t="s">
        <v>12248</v>
      </c>
      <c r="C3363" s="1" t="s">
        <v>12249</v>
      </c>
      <c r="D3363" s="1" t="s">
        <v>12250</v>
      </c>
      <c r="E3363" s="1" t="s">
        <v>12251</v>
      </c>
      <c r="F3363" s="1"/>
      <c r="G3363" s="1">
        <v>832108</v>
      </c>
      <c r="H3363" s="1">
        <v>3.75</v>
      </c>
    </row>
    <row r="3364" spans="1:8" ht="21.75" customHeight="1">
      <c r="A3364" s="1" t="str">
        <f>"IN30169611597283"</f>
        <v>IN30169611597283</v>
      </c>
      <c r="B3364" s="1" t="s">
        <v>12252</v>
      </c>
      <c r="C3364" s="1" t="s">
        <v>12253</v>
      </c>
      <c r="D3364" s="1" t="s">
        <v>12254</v>
      </c>
      <c r="E3364" s="1" t="s">
        <v>12255</v>
      </c>
      <c r="F3364" s="1"/>
      <c r="G3364" s="1">
        <v>832303</v>
      </c>
      <c r="H3364" s="1">
        <v>145.5</v>
      </c>
    </row>
    <row r="3365" spans="1:8" ht="21.75" customHeight="1">
      <c r="A3365" s="1" t="str">
        <f>"IN30021414037529"</f>
        <v>IN30021414037529</v>
      </c>
      <c r="B3365" s="1" t="s">
        <v>12256</v>
      </c>
      <c r="C3365" s="1" t="s">
        <v>12257</v>
      </c>
      <c r="D3365" s="1" t="s">
        <v>12258</v>
      </c>
      <c r="E3365" s="1" t="s">
        <v>12259</v>
      </c>
      <c r="F3365" s="1"/>
      <c r="G3365" s="1">
        <v>833102</v>
      </c>
      <c r="H3365" s="1">
        <v>63</v>
      </c>
    </row>
    <row r="3366" spans="1:8" ht="21.75" customHeight="1">
      <c r="A3366" s="1" t="str">
        <f>"1304140000387603"</f>
        <v>1304140000387603</v>
      </c>
      <c r="B3366" s="1" t="s">
        <v>12260</v>
      </c>
      <c r="C3366" s="1" t="s">
        <v>12261</v>
      </c>
      <c r="D3366" s="1" t="s">
        <v>12262</v>
      </c>
      <c r="E3366" s="1" t="s">
        <v>12263</v>
      </c>
      <c r="F3366" s="1" t="s">
        <v>6164</v>
      </c>
      <c r="G3366" s="1">
        <v>845438</v>
      </c>
      <c r="H3366" s="1">
        <v>190.5</v>
      </c>
    </row>
    <row r="3367" spans="1:8" ht="21.75" customHeight="1">
      <c r="A3367" s="1" t="str">
        <f>"1304140000324050"</f>
        <v>1304140000324050</v>
      </c>
      <c r="B3367" s="1" t="s">
        <v>12264</v>
      </c>
      <c r="C3367" s="1" t="s">
        <v>12264</v>
      </c>
      <c r="D3367" s="1" t="s">
        <v>12265</v>
      </c>
      <c r="E3367" s="1" t="s">
        <v>12266</v>
      </c>
      <c r="F3367" s="1" t="s">
        <v>12267</v>
      </c>
      <c r="G3367" s="1">
        <v>845438</v>
      </c>
      <c r="H3367" s="1">
        <v>30</v>
      </c>
    </row>
    <row r="3368" spans="1:8" ht="21.75" customHeight="1">
      <c r="A3368" s="1" t="str">
        <f>"1203840000186007"</f>
        <v>1203840000186007</v>
      </c>
      <c r="B3368" s="1" t="s">
        <v>12269</v>
      </c>
      <c r="C3368" s="1" t="s">
        <v>12270</v>
      </c>
      <c r="D3368" s="1" t="s">
        <v>12271</v>
      </c>
      <c r="E3368" s="1"/>
      <c r="F3368" s="1" t="s">
        <v>12268</v>
      </c>
      <c r="G3368" s="1">
        <v>846004</v>
      </c>
      <c r="H3368" s="1">
        <v>18.75</v>
      </c>
    </row>
    <row r="3369" spans="1:8" ht="21.75" customHeight="1">
      <c r="A3369" s="1" t="str">
        <f>"1208870017735515"</f>
        <v>1208870017735515</v>
      </c>
      <c r="B3369" s="1" t="s">
        <v>12273</v>
      </c>
      <c r="C3369" s="1" t="s">
        <v>12274</v>
      </c>
      <c r="D3369" s="1" t="s">
        <v>410</v>
      </c>
      <c r="E3369" s="1" t="s">
        <v>410</v>
      </c>
      <c r="F3369" s="1" t="s">
        <v>12272</v>
      </c>
      <c r="G3369" s="1">
        <v>847408</v>
      </c>
      <c r="H3369" s="1">
        <v>7.5</v>
      </c>
    </row>
    <row r="3370" spans="1:8" ht="21.75" customHeight="1">
      <c r="A3370" s="1" t="str">
        <f>"000540"</f>
        <v>000540</v>
      </c>
      <c r="B3370" s="1" t="s">
        <v>12275</v>
      </c>
      <c r="C3370" s="1" t="s">
        <v>10363</v>
      </c>
      <c r="D3370" s="1" t="s">
        <v>12276</v>
      </c>
      <c r="E3370" s="1" t="s">
        <v>12277</v>
      </c>
      <c r="F3370" s="1">
        <v>0</v>
      </c>
      <c r="G3370" s="1">
        <v>0</v>
      </c>
      <c r="H3370" s="1">
        <v>2400</v>
      </c>
    </row>
    <row r="3371" spans="1:8" ht="21.75" customHeight="1">
      <c r="A3371" s="1" t="str">
        <f>"000691"</f>
        <v>000691</v>
      </c>
      <c r="B3371" s="1" t="s">
        <v>12278</v>
      </c>
      <c r="C3371" s="1" t="s">
        <v>12279</v>
      </c>
      <c r="D3371" s="1" t="s">
        <v>12280</v>
      </c>
      <c r="E3371" s="1" t="s">
        <v>12281</v>
      </c>
      <c r="F3371" s="1">
        <v>0</v>
      </c>
      <c r="G3371" s="1">
        <v>0</v>
      </c>
      <c r="H3371" s="1">
        <v>2400</v>
      </c>
    </row>
    <row r="3372" spans="1:8" ht="21.75" customHeight="1">
      <c r="A3372" s="1" t="str">
        <f>"003292"</f>
        <v>003292</v>
      </c>
      <c r="B3372" s="1" t="s">
        <v>12282</v>
      </c>
      <c r="C3372" s="1" t="s">
        <v>12283</v>
      </c>
      <c r="D3372" s="1" t="s">
        <v>12284</v>
      </c>
      <c r="E3372" s="1" t="s">
        <v>42</v>
      </c>
      <c r="F3372" s="1">
        <v>0</v>
      </c>
      <c r="G3372" s="1">
        <v>0</v>
      </c>
      <c r="H3372" s="1">
        <v>2256</v>
      </c>
    </row>
    <row r="3373" spans="1:8" ht="21.75" customHeight="1">
      <c r="A3373" s="1" t="str">
        <f>"001004"</f>
        <v>001004</v>
      </c>
      <c r="B3373" s="1" t="s">
        <v>12285</v>
      </c>
      <c r="C3373" s="1" t="s">
        <v>12286</v>
      </c>
      <c r="D3373" s="1" t="s">
        <v>12287</v>
      </c>
      <c r="E3373" s="1" t="s">
        <v>12288</v>
      </c>
      <c r="F3373" s="1">
        <v>0</v>
      </c>
      <c r="G3373" s="1">
        <v>0</v>
      </c>
      <c r="H3373" s="1">
        <v>2400</v>
      </c>
    </row>
    <row r="3374" spans="1:8" ht="21.75" customHeight="1">
      <c r="A3374" s="1" t="str">
        <f>"003124"</f>
        <v>003124</v>
      </c>
      <c r="B3374" s="1" t="s">
        <v>12289</v>
      </c>
      <c r="C3374" s="1" t="s">
        <v>12290</v>
      </c>
      <c r="D3374" s="1" t="s">
        <v>12291</v>
      </c>
      <c r="E3374" s="1" t="s">
        <v>42</v>
      </c>
      <c r="F3374" s="1">
        <v>0</v>
      </c>
      <c r="G3374" s="1">
        <v>0</v>
      </c>
      <c r="H3374" s="1">
        <v>2400</v>
      </c>
    </row>
    <row r="3375" spans="1:8" ht="21.75" customHeight="1">
      <c r="A3375" s="1" t="str">
        <f>"003442"</f>
        <v>003442</v>
      </c>
      <c r="B3375" s="1" t="s">
        <v>12292</v>
      </c>
      <c r="C3375" s="1" t="s">
        <v>12293</v>
      </c>
      <c r="D3375" s="1" t="s">
        <v>12294</v>
      </c>
      <c r="E3375" s="1" t="s">
        <v>12295</v>
      </c>
      <c r="F3375" s="1">
        <v>0</v>
      </c>
      <c r="G3375" s="1">
        <v>0</v>
      </c>
      <c r="H3375" s="1">
        <v>2256</v>
      </c>
    </row>
    <row r="3376" spans="1:8" ht="21.75" customHeight="1">
      <c r="A3376" s="1" t="str">
        <f>"003445"</f>
        <v>003445</v>
      </c>
      <c r="B3376" s="1" t="s">
        <v>12296</v>
      </c>
      <c r="C3376" s="1" t="s">
        <v>12297</v>
      </c>
      <c r="D3376" s="1" t="s">
        <v>5128</v>
      </c>
      <c r="E3376" s="1" t="s">
        <v>42</v>
      </c>
      <c r="F3376" s="1">
        <v>0</v>
      </c>
      <c r="G3376" s="1">
        <v>0</v>
      </c>
      <c r="H3376" s="1">
        <v>2400</v>
      </c>
    </row>
    <row r="3377" spans="1:8" ht="21.75" customHeight="1">
      <c r="A3377" s="1" t="str">
        <f>"000697"</f>
        <v>000697</v>
      </c>
      <c r="B3377" s="1" t="s">
        <v>12298</v>
      </c>
      <c r="C3377" s="1" t="s">
        <v>12299</v>
      </c>
      <c r="D3377" s="1" t="s">
        <v>12300</v>
      </c>
      <c r="E3377" s="1" t="s">
        <v>12301</v>
      </c>
      <c r="F3377" s="1" t="s">
        <v>33</v>
      </c>
      <c r="G3377" s="1">
        <v>641028</v>
      </c>
      <c r="H3377" s="1">
        <v>4800</v>
      </c>
    </row>
    <row r="3378" spans="1:8" ht="21.75" customHeight="1">
      <c r="A3378" s="1" t="str">
        <f>"003506"</f>
        <v>003506</v>
      </c>
      <c r="B3378" s="1" t="s">
        <v>12302</v>
      </c>
      <c r="C3378" s="1" t="s">
        <v>12303</v>
      </c>
      <c r="D3378" s="1" t="s">
        <v>12304</v>
      </c>
      <c r="E3378" s="1" t="s">
        <v>12305</v>
      </c>
      <c r="F3378" s="1" t="s">
        <v>458</v>
      </c>
      <c r="G3378" s="1">
        <v>678104</v>
      </c>
      <c r="H3378" s="1">
        <v>2400</v>
      </c>
    </row>
    <row r="3379" spans="1:8" ht="21.75" customHeight="1">
      <c r="A3379" s="1" t="str">
        <f>"002556"</f>
        <v>002556</v>
      </c>
      <c r="B3379" s="1" t="s">
        <v>12306</v>
      </c>
      <c r="C3379" s="1" t="s">
        <v>12307</v>
      </c>
      <c r="D3379" s="1" t="s">
        <v>12308</v>
      </c>
      <c r="E3379" s="1" t="s">
        <v>474</v>
      </c>
      <c r="F3379" s="1" t="s">
        <v>37</v>
      </c>
      <c r="G3379" s="1">
        <v>680001</v>
      </c>
      <c r="H3379" s="1">
        <v>2400</v>
      </c>
    </row>
    <row r="3380" spans="1:8" ht="21.75" customHeight="1">
      <c r="A3380" s="1" t="str">
        <f>"000637"</f>
        <v>000637</v>
      </c>
      <c r="B3380" s="1" t="s">
        <v>12309</v>
      </c>
      <c r="C3380" s="1" t="s">
        <v>12310</v>
      </c>
      <c r="D3380" s="1" t="s">
        <v>12311</v>
      </c>
      <c r="E3380" s="1" t="s">
        <v>12312</v>
      </c>
      <c r="F3380" s="1" t="s">
        <v>37</v>
      </c>
      <c r="G3380" s="1">
        <v>680002</v>
      </c>
      <c r="H3380" s="1">
        <v>2400</v>
      </c>
    </row>
    <row r="3381" spans="1:8" ht="21.75" customHeight="1">
      <c r="A3381" s="1" t="str">
        <f>"003550"</f>
        <v>003550</v>
      </c>
      <c r="B3381" s="1" t="s">
        <v>12313</v>
      </c>
      <c r="C3381" s="1" t="s">
        <v>12314</v>
      </c>
      <c r="D3381" s="1" t="s">
        <v>12315</v>
      </c>
      <c r="E3381" s="1" t="s">
        <v>42</v>
      </c>
      <c r="F3381" s="1" t="s">
        <v>37</v>
      </c>
      <c r="G3381" s="1">
        <v>680003</v>
      </c>
      <c r="H3381" s="1">
        <v>11496</v>
      </c>
    </row>
    <row r="3382" spans="1:8" ht="21.75" customHeight="1">
      <c r="A3382" s="1" t="str">
        <f>"002719"</f>
        <v>002719</v>
      </c>
      <c r="B3382" s="1" t="s">
        <v>12316</v>
      </c>
      <c r="C3382" s="1" t="s">
        <v>12317</v>
      </c>
      <c r="D3382" s="1" t="s">
        <v>12318</v>
      </c>
      <c r="E3382" s="1" t="s">
        <v>12319</v>
      </c>
      <c r="F3382" s="1" t="s">
        <v>37</v>
      </c>
      <c r="G3382" s="1">
        <v>680007</v>
      </c>
      <c r="H3382" s="1">
        <v>4800</v>
      </c>
    </row>
    <row r="3383" spans="1:8" ht="21.75" customHeight="1">
      <c r="A3383" s="1" t="str">
        <f>"004520"</f>
        <v>004520</v>
      </c>
      <c r="B3383" s="1" t="s">
        <v>12320</v>
      </c>
      <c r="C3383" s="1" t="s">
        <v>11456</v>
      </c>
      <c r="D3383" s="1" t="s">
        <v>12321</v>
      </c>
      <c r="E3383" s="1" t="s">
        <v>12322</v>
      </c>
      <c r="F3383" s="1" t="s">
        <v>37</v>
      </c>
      <c r="G3383" s="1">
        <v>680008</v>
      </c>
      <c r="H3383" s="1">
        <v>1875</v>
      </c>
    </row>
    <row r="3384" spans="1:8" ht="21.75" customHeight="1">
      <c r="A3384" s="1" t="str">
        <f>"001776"</f>
        <v>001776</v>
      </c>
      <c r="B3384" s="1" t="s">
        <v>10091</v>
      </c>
      <c r="C3384" s="1" t="s">
        <v>12323</v>
      </c>
      <c r="D3384" s="1" t="s">
        <v>12324</v>
      </c>
      <c r="E3384" s="1" t="s">
        <v>10011</v>
      </c>
      <c r="F3384" s="1" t="s">
        <v>37</v>
      </c>
      <c r="G3384" s="1">
        <v>680020</v>
      </c>
      <c r="H3384" s="1">
        <v>2400</v>
      </c>
    </row>
    <row r="3385" spans="1:8" ht="21.75" customHeight="1">
      <c r="A3385" s="1" t="str">
        <f>"IN30051311277419"</f>
        <v>IN30051311277419</v>
      </c>
      <c r="B3385" s="1" t="s">
        <v>12325</v>
      </c>
      <c r="C3385" s="1" t="s">
        <v>12326</v>
      </c>
      <c r="D3385" s="1" t="s">
        <v>12327</v>
      </c>
      <c r="E3385" s="1" t="s">
        <v>10011</v>
      </c>
      <c r="F3385" s="1"/>
      <c r="G3385" s="1">
        <v>680307</v>
      </c>
      <c r="H3385" s="1">
        <v>2400</v>
      </c>
    </row>
    <row r="3386" spans="1:8" ht="21.75" customHeight="1">
      <c r="A3386" s="1" t="str">
        <f>"002488"</f>
        <v>002488</v>
      </c>
      <c r="B3386" s="1" t="s">
        <v>12328</v>
      </c>
      <c r="C3386" s="1" t="s">
        <v>10325</v>
      </c>
      <c r="D3386" s="1" t="s">
        <v>12329</v>
      </c>
      <c r="E3386" s="1" t="s">
        <v>474</v>
      </c>
      <c r="F3386" s="1" t="s">
        <v>37</v>
      </c>
      <c r="G3386" s="1">
        <v>680565</v>
      </c>
      <c r="H3386" s="1">
        <v>6000</v>
      </c>
    </row>
    <row r="3387" spans="1:8" ht="21.75" customHeight="1">
      <c r="A3387" s="1" t="str">
        <f>"1204760000134109"</f>
        <v>1204760000134109</v>
      </c>
      <c r="B3387" s="1" t="s">
        <v>12330</v>
      </c>
      <c r="C3387" s="1" t="s">
        <v>12331</v>
      </c>
      <c r="D3387" s="1" t="s">
        <v>12332</v>
      </c>
      <c r="E3387" s="1"/>
      <c r="F3387" s="1" t="s">
        <v>42</v>
      </c>
      <c r="G3387" s="1">
        <v>680567</v>
      </c>
      <c r="H3387" s="1">
        <v>1575</v>
      </c>
    </row>
    <row r="3388" spans="1:8" ht="21.75" customHeight="1">
      <c r="A3388" s="1" t="str">
        <f>"IN30089610403786"</f>
        <v>IN30089610403786</v>
      </c>
      <c r="B3388" s="1" t="s">
        <v>12333</v>
      </c>
      <c r="C3388" s="1" t="s">
        <v>489</v>
      </c>
      <c r="D3388" s="1" t="s">
        <v>12334</v>
      </c>
      <c r="E3388" s="1" t="s">
        <v>12335</v>
      </c>
      <c r="F3388" s="1"/>
      <c r="G3388" s="1">
        <v>680569</v>
      </c>
      <c r="H3388" s="1">
        <v>6760.25</v>
      </c>
    </row>
    <row r="3389" spans="1:8" ht="21.75" customHeight="1">
      <c r="A3389" s="1" t="str">
        <f>"004281"</f>
        <v>004281</v>
      </c>
      <c r="B3389" s="1" t="s">
        <v>12336</v>
      </c>
      <c r="C3389" s="1" t="s">
        <v>12337</v>
      </c>
      <c r="D3389" s="1" t="s">
        <v>12338</v>
      </c>
      <c r="E3389" s="1" t="s">
        <v>42</v>
      </c>
      <c r="F3389" s="1" t="s">
        <v>37</v>
      </c>
      <c r="G3389" s="1">
        <v>680571</v>
      </c>
      <c r="H3389" s="1">
        <v>2700</v>
      </c>
    </row>
    <row r="3390" spans="1:8" ht="21.75" customHeight="1">
      <c r="A3390" s="1" t="str">
        <f>"004366"</f>
        <v>004366</v>
      </c>
      <c r="B3390" s="1" t="s">
        <v>12339</v>
      </c>
      <c r="C3390" s="1" t="s">
        <v>12340</v>
      </c>
      <c r="D3390" s="1" t="s">
        <v>12341</v>
      </c>
      <c r="E3390" s="1" t="s">
        <v>9956</v>
      </c>
      <c r="F3390" s="1" t="s">
        <v>37</v>
      </c>
      <c r="G3390" s="1">
        <v>680572</v>
      </c>
      <c r="H3390" s="1">
        <v>2700</v>
      </c>
    </row>
    <row r="3391" spans="1:8" ht="21.75" customHeight="1">
      <c r="A3391" s="1" t="str">
        <f>"003833"</f>
        <v>003833</v>
      </c>
      <c r="B3391" s="1" t="s">
        <v>12342</v>
      </c>
      <c r="C3391" s="1" t="s">
        <v>12343</v>
      </c>
      <c r="D3391" s="1" t="s">
        <v>12344</v>
      </c>
      <c r="E3391" s="1" t="s">
        <v>10011</v>
      </c>
      <c r="F3391" s="1" t="s">
        <v>37</v>
      </c>
      <c r="G3391" s="1">
        <v>680604</v>
      </c>
      <c r="H3391" s="1">
        <v>6000</v>
      </c>
    </row>
    <row r="3392" spans="1:8" ht="21.75" customHeight="1">
      <c r="A3392" s="1" t="str">
        <f>"001549"</f>
        <v>001549</v>
      </c>
      <c r="B3392" s="1" t="s">
        <v>12345</v>
      </c>
      <c r="C3392" s="1" t="s">
        <v>12346</v>
      </c>
      <c r="D3392" s="1" t="s">
        <v>12347</v>
      </c>
      <c r="E3392" s="1" t="s">
        <v>12348</v>
      </c>
      <c r="F3392" s="1" t="s">
        <v>37</v>
      </c>
      <c r="G3392" s="1">
        <v>680614</v>
      </c>
      <c r="H3392" s="1">
        <v>12000</v>
      </c>
    </row>
    <row r="3393" spans="1:8" ht="21.75" customHeight="1">
      <c r="A3393" s="1" t="str">
        <f>"000945"</f>
        <v>000945</v>
      </c>
      <c r="B3393" s="1" t="s">
        <v>12349</v>
      </c>
      <c r="C3393" s="1" t="s">
        <v>12350</v>
      </c>
      <c r="D3393" s="1" t="s">
        <v>12351</v>
      </c>
      <c r="E3393" s="1" t="s">
        <v>42</v>
      </c>
      <c r="F3393" s="1" t="s">
        <v>37</v>
      </c>
      <c r="G3393" s="1">
        <v>680618</v>
      </c>
      <c r="H3393" s="1">
        <v>2400</v>
      </c>
    </row>
    <row r="3394" spans="1:8" ht="21.75" customHeight="1">
      <c r="A3394" s="1" t="str">
        <f>"002996"</f>
        <v>002996</v>
      </c>
      <c r="B3394" s="1" t="s">
        <v>12352</v>
      </c>
      <c r="C3394" s="1" t="s">
        <v>12352</v>
      </c>
      <c r="D3394" s="1" t="s">
        <v>12353</v>
      </c>
      <c r="E3394" s="1" t="s">
        <v>42</v>
      </c>
      <c r="F3394" s="1" t="s">
        <v>37</v>
      </c>
      <c r="G3394" s="1">
        <v>680695</v>
      </c>
      <c r="H3394" s="1">
        <v>2400</v>
      </c>
    </row>
    <row r="3395" spans="1:8" ht="21.75" customHeight="1">
      <c r="A3395" s="1" t="str">
        <f>"000672"</f>
        <v>000672</v>
      </c>
      <c r="B3395" s="1" t="s">
        <v>12354</v>
      </c>
      <c r="C3395" s="1" t="s">
        <v>12355</v>
      </c>
      <c r="D3395" s="1" t="s">
        <v>12356</v>
      </c>
      <c r="E3395" s="1" t="s">
        <v>12281</v>
      </c>
      <c r="F3395" s="1" t="s">
        <v>37</v>
      </c>
      <c r="G3395" s="1">
        <v>680711</v>
      </c>
      <c r="H3395" s="1">
        <v>2400</v>
      </c>
    </row>
    <row r="3396" spans="1:8" ht="21.75" customHeight="1">
      <c r="A3396" s="1" t="str">
        <f>"IN30163740508838"</f>
        <v>IN30163740508838</v>
      </c>
      <c r="B3396" s="1" t="s">
        <v>12357</v>
      </c>
      <c r="C3396" s="1" t="s">
        <v>12358</v>
      </c>
      <c r="D3396" s="1" t="s">
        <v>10615</v>
      </c>
      <c r="E3396" s="1" t="s">
        <v>47</v>
      </c>
      <c r="F3396" s="1"/>
      <c r="G3396" s="1">
        <v>680721</v>
      </c>
      <c r="H3396" s="1">
        <v>2700</v>
      </c>
    </row>
    <row r="3397" spans="1:8" ht="21.75" customHeight="1">
      <c r="A3397" s="1" t="str">
        <f>"IN30039416547164"</f>
        <v>IN30039416547164</v>
      </c>
      <c r="B3397" s="1" t="s">
        <v>12359</v>
      </c>
      <c r="C3397" s="1" t="s">
        <v>12360</v>
      </c>
      <c r="D3397" s="1" t="s">
        <v>12361</v>
      </c>
      <c r="E3397" s="1" t="s">
        <v>12362</v>
      </c>
      <c r="F3397" s="1"/>
      <c r="G3397" s="1">
        <v>695311</v>
      </c>
      <c r="H3397" s="1">
        <v>4725</v>
      </c>
    </row>
    <row r="3398" spans="1:8" ht="21.75" customHeight="1">
      <c r="A3398" s="1" t="str">
        <f>"002966"</f>
        <v>002966</v>
      </c>
      <c r="B3398" s="1" t="s">
        <v>12363</v>
      </c>
      <c r="C3398" s="1" t="s">
        <v>10365</v>
      </c>
      <c r="D3398" s="1" t="s">
        <v>12364</v>
      </c>
      <c r="E3398" s="1" t="s">
        <v>12365</v>
      </c>
      <c r="F3398" s="1">
        <v>0</v>
      </c>
      <c r="G3398" s="1">
        <v>0</v>
      </c>
      <c r="H3398" s="1">
        <v>2400</v>
      </c>
    </row>
    <row r="3399" spans="1:8" ht="21.75" customHeight="1">
      <c r="A3399" s="1" t="str">
        <f>"001086"</f>
        <v>001086</v>
      </c>
      <c r="B3399" s="1" t="s">
        <v>12366</v>
      </c>
      <c r="C3399" s="1" t="s">
        <v>12367</v>
      </c>
      <c r="D3399" s="1" t="s">
        <v>12368</v>
      </c>
      <c r="E3399" s="1" t="s">
        <v>12369</v>
      </c>
      <c r="F3399" s="1" t="s">
        <v>458</v>
      </c>
      <c r="G3399" s="1">
        <v>680601</v>
      </c>
      <c r="H3399" s="1">
        <v>2400</v>
      </c>
    </row>
    <row r="3400" spans="1:8" ht="21.75" customHeight="1">
      <c r="A3400" s="1" t="str">
        <f>"004398"</f>
        <v>004398</v>
      </c>
      <c r="B3400" s="1" t="s">
        <v>12370</v>
      </c>
      <c r="C3400" s="1" t="s">
        <v>12371</v>
      </c>
      <c r="D3400" s="1" t="s">
        <v>12372</v>
      </c>
      <c r="E3400" s="1" t="s">
        <v>12373</v>
      </c>
      <c r="F3400" s="1" t="s">
        <v>37</v>
      </c>
      <c r="G3400" s="1">
        <v>680702</v>
      </c>
      <c r="H3400" s="1">
        <v>2700</v>
      </c>
    </row>
    <row r="3401" spans="1:8" ht="21.75" customHeight="1">
      <c r="A3401" s="1" t="str">
        <f>"003381"</f>
        <v>003381</v>
      </c>
      <c r="B3401" s="1" t="s">
        <v>12374</v>
      </c>
      <c r="C3401" s="1" t="s">
        <v>12375</v>
      </c>
      <c r="D3401" s="1" t="s">
        <v>12376</v>
      </c>
      <c r="E3401" s="1" t="s">
        <v>54</v>
      </c>
      <c r="F3401" s="1" t="s">
        <v>54</v>
      </c>
      <c r="G3401" s="1">
        <v>682011</v>
      </c>
      <c r="H3401" s="1">
        <v>750</v>
      </c>
    </row>
    <row r="3402" spans="1:8" ht="21.75" customHeight="1">
      <c r="A3402" s="1" t="str">
        <f>"004193"</f>
        <v>004193</v>
      </c>
      <c r="B3402" s="1" t="s">
        <v>12377</v>
      </c>
      <c r="C3402" s="1" t="s">
        <v>12378</v>
      </c>
      <c r="D3402" s="1" t="s">
        <v>12379</v>
      </c>
      <c r="E3402" s="1" t="s">
        <v>12380</v>
      </c>
      <c r="F3402" s="1">
        <v>0</v>
      </c>
      <c r="G3402" s="1">
        <v>0</v>
      </c>
      <c r="H3402" s="1">
        <v>12000</v>
      </c>
    </row>
    <row r="3403" spans="1:8" ht="21.75" customHeight="1">
      <c r="A3403" s="1" t="str">
        <f>"003216"</f>
        <v>003216</v>
      </c>
      <c r="B3403" s="1" t="s">
        <v>12381</v>
      </c>
      <c r="C3403" s="1" t="s">
        <v>12382</v>
      </c>
      <c r="D3403" s="1" t="s">
        <v>12383</v>
      </c>
      <c r="E3403" s="1" t="s">
        <v>42</v>
      </c>
      <c r="F3403" s="1" t="s">
        <v>37</v>
      </c>
      <c r="G3403" s="1">
        <v>680101</v>
      </c>
      <c r="H3403" s="1">
        <v>2400</v>
      </c>
    </row>
    <row r="3404" spans="1:8" ht="21.75" customHeight="1">
      <c r="A3404" s="1" t="str">
        <f>"003002"</f>
        <v>003002</v>
      </c>
      <c r="B3404" s="1" t="s">
        <v>12384</v>
      </c>
      <c r="C3404" s="1" t="s">
        <v>12385</v>
      </c>
      <c r="D3404" s="1" t="s">
        <v>12386</v>
      </c>
      <c r="E3404" s="1"/>
      <c r="F3404" s="1" t="s">
        <v>37</v>
      </c>
      <c r="G3404" s="1">
        <v>680512</v>
      </c>
      <c r="H3404" s="1">
        <v>2400</v>
      </c>
    </row>
    <row r="3405" spans="1:8" ht="21.75" customHeight="1">
      <c r="A3405" s="1" t="str">
        <f>"003059"</f>
        <v>003059</v>
      </c>
      <c r="B3405" s="1" t="s">
        <v>12387</v>
      </c>
      <c r="C3405" s="1" t="s">
        <v>12388</v>
      </c>
      <c r="D3405" s="1" t="s">
        <v>12389</v>
      </c>
      <c r="E3405" s="1" t="s">
        <v>42</v>
      </c>
      <c r="F3405" s="1" t="s">
        <v>37</v>
      </c>
      <c r="G3405" s="1">
        <v>680687</v>
      </c>
      <c r="H3405" s="1">
        <v>2400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2023-01-24T08:48:57Z</dcterms:created>
  <dcterms:modified xsi:type="dcterms:W3CDTF">2023-01-24T08:48:57Z</dcterms:modified>
  <cp:category/>
  <cp:version/>
  <cp:contentType/>
  <cp:contentStatus/>
</cp:coreProperties>
</file>